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ThisWorkbook" defaultThemeVersion="124226"/>
  <xr:revisionPtr revIDLastSave="0" documentId="13_ncr:1_{06778C76-FAE7-42A9-9A13-E6A01FC8EC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utch 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1" l="1"/>
  <c r="C43" i="1"/>
  <c r="C46" i="1" s="1"/>
  <c r="C36" i="1"/>
  <c r="C38" i="1" s="1"/>
  <c r="C39" i="1" s="1"/>
  <c r="C32" i="1"/>
  <c r="J8" i="1"/>
  <c r="C18" i="1"/>
  <c r="C20" i="1" s="1"/>
  <c r="C17" i="1"/>
  <c r="C13" i="1"/>
  <c r="C5" i="1"/>
  <c r="C4" i="1"/>
  <c r="C9" i="1" s="1"/>
  <c r="C10" i="1" s="1"/>
  <c r="E10" i="1" l="1"/>
  <c r="C41" i="1"/>
  <c r="C23" i="1"/>
  <c r="C24" i="1" s="1"/>
  <c r="C25" i="1"/>
  <c r="C26" i="1" s="1"/>
  <c r="C21" i="1"/>
  <c r="J5" i="1" s="1"/>
  <c r="J7" i="1" s="1"/>
  <c r="J10" i="1" s="1"/>
  <c r="J11" i="1" s="1"/>
  <c r="J12" i="1" s="1"/>
  <c r="C47" i="1"/>
  <c r="J33" i="1" l="1"/>
  <c r="C48" i="1"/>
  <c r="C27" i="1"/>
  <c r="C29" i="1" s="1"/>
  <c r="C50" i="1" l="1"/>
  <c r="C49" i="1"/>
  <c r="C51" i="1" l="1"/>
  <c r="C52" i="1" s="1"/>
  <c r="C53" i="1" s="1"/>
  <c r="C54" i="1"/>
</calcChain>
</file>

<file path=xl/sharedStrings.xml><?xml version="1.0" encoding="utf-8"?>
<sst xmlns="http://schemas.openxmlformats.org/spreadsheetml/2006/main" count="108" uniqueCount="85">
  <si>
    <t>POWER OF ENGINE</t>
  </si>
  <si>
    <t>hp</t>
  </si>
  <si>
    <t>kW</t>
  </si>
  <si>
    <t>REDUCTION IF ANY</t>
  </si>
  <si>
    <t>DRIVE PULLEY</t>
  </si>
  <si>
    <t>mm</t>
  </si>
  <si>
    <t>DRIVEN PULLEY</t>
  </si>
  <si>
    <t>SPEED OF ENGINE</t>
  </si>
  <si>
    <t>rpm</t>
  </si>
  <si>
    <t>TORQUE TRANSMITTED</t>
  </si>
  <si>
    <t>ACTUAL TORQUE AT CLUTCH</t>
  </si>
  <si>
    <t>N-m</t>
  </si>
  <si>
    <t>NO OF FRICTION PLATE</t>
  </si>
  <si>
    <t>NO OF PRESSURE PLATE</t>
  </si>
  <si>
    <t>NO OF PAIRS IN CONTACT</t>
  </si>
  <si>
    <t>CO EFFICIEN OF FRICTION</t>
  </si>
  <si>
    <t>MAJOR DIA</t>
  </si>
  <si>
    <t>MINOR DIA</t>
  </si>
  <si>
    <t>R1</t>
  </si>
  <si>
    <t>R2</t>
  </si>
  <si>
    <t>PRESSURE MAX</t>
  </si>
  <si>
    <t>N/mm</t>
  </si>
  <si>
    <t>C</t>
  </si>
  <si>
    <t>AXIAL FORCE</t>
  </si>
  <si>
    <t>ACTUAL TORQUE ON PLATE</t>
  </si>
  <si>
    <t>N-mm</t>
  </si>
  <si>
    <t>MEAN RADIUS</t>
  </si>
  <si>
    <t>ACTUAL FORCE</t>
  </si>
  <si>
    <t>N</t>
  </si>
  <si>
    <t>ACTUAL TORQUE TRANSMITTED</t>
  </si>
  <si>
    <t>TOTAL LOAD ON SPRING</t>
  </si>
  <si>
    <t>NO OF SPRINGS</t>
  </si>
  <si>
    <t>LOAD ON SPRING</t>
  </si>
  <si>
    <t>WHALL STRESS FACTOR K</t>
  </si>
  <si>
    <t>MAXIMUM SHEAR STRESS OF WIRE</t>
  </si>
  <si>
    <t>DIA OF WIRE</t>
  </si>
  <si>
    <t>N/MM</t>
  </si>
  <si>
    <t>CLUTCH SAFTEY FACTOR</t>
  </si>
  <si>
    <t>ANGULAR VELOCITY OF FLY WHEEL</t>
  </si>
  <si>
    <t>RAD/S</t>
  </si>
  <si>
    <t>GEAR REDUCTION</t>
  </si>
  <si>
    <t>ANGULAR VELOCITY OF ROAD WHEEL</t>
  </si>
  <si>
    <t>SPEED</t>
  </si>
  <si>
    <t>KMPH</t>
  </si>
  <si>
    <t>M/S</t>
  </si>
  <si>
    <t>RADIUS OF WHEEL</t>
  </si>
  <si>
    <t>M</t>
  </si>
  <si>
    <t>ANG VEL WHEEL</t>
  </si>
  <si>
    <t>TOTAL</t>
  </si>
  <si>
    <t>ENGINE TORQUE DURING ENGAGEMENT</t>
  </si>
  <si>
    <t>N-M</t>
  </si>
  <si>
    <t>ANGULAR ACCELERATION</t>
  </si>
  <si>
    <t>ACCELERATING FORCE</t>
  </si>
  <si>
    <t>ACCELERATING TORQUE</t>
  </si>
  <si>
    <t>MASS OF VEHICLE</t>
  </si>
  <si>
    <t>KG</t>
  </si>
  <si>
    <t>M/S2</t>
  </si>
  <si>
    <t>ANG ACC AT CLUTCH OUT</t>
  </si>
  <si>
    <t>RAD/S2</t>
  </si>
  <si>
    <t>CLUTCH SLIP PERIOD</t>
  </si>
  <si>
    <t xml:space="preserve"> 0 0</t>
  </si>
  <si>
    <t>218.5 210</t>
  </si>
  <si>
    <t>0.055 s</t>
  </si>
  <si>
    <t>4.7 ( 150)</t>
  </si>
  <si>
    <t>e</t>
  </si>
  <si>
    <t>SEC</t>
  </si>
  <si>
    <t>ANGLE</t>
  </si>
  <si>
    <t xml:space="preserve">ANGLE </t>
  </si>
  <si>
    <t>ANGLE OF CLUTCH SLIP</t>
  </si>
  <si>
    <t>NO OF REV SLIP</t>
  </si>
  <si>
    <t>FOR 4 PLATES</t>
  </si>
  <si>
    <t>HEAT DISSIPATED</t>
  </si>
  <si>
    <t>JUL</t>
  </si>
  <si>
    <t>no of fric surface</t>
  </si>
  <si>
    <t>MULTI-PLATE CLUTCH DESIGN CALCULATOR</t>
  </si>
  <si>
    <t>Green cells are user inputs; blue cells are calculated automatically.</t>
  </si>
  <si>
    <t>SPRING DESIGN</t>
  </si>
  <si>
    <t>ACTUAL FORCE REQUIREMENT</t>
  </si>
  <si>
    <t>ENGAGEMENT &amp; THERMAL ANALYSIS</t>
  </si>
  <si>
    <t>DESIGN NOTES</t>
  </si>
  <si>
    <t>POWER (CONVERTED)</t>
  </si>
  <si>
    <t>TORQUE (CONVERTED)</t>
  </si>
  <si>
    <t>SPEED (CONVERTED)</t>
  </si>
  <si>
    <t>VEHICLE WEIGHT</t>
  </si>
  <si>
    <t>LINEAR ACCELERATION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</si>
</sst>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x"/>
  </numFmts>
  <fonts count="11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i/>
      <sz val="10"/>
      <color rgb="FF555555"/>
      <name val="Calibri"/>
      <family val="2"/>
      <scheme val="minor"/>
    </font>
    <font>
      <b/>
      <sz val="20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203864"/>
      <name val="Calibri"/>
      <family val="2"/>
      <scheme val="minor"/>
    </font>
    <font>
      <i/>
      <sz val="11"/>
      <color rgb="FF666666"/>
      <name val="Calibri"/>
      <family val="2"/>
      <scheme val="minor"/>
    </font>
    <font>
      <sz val="11"/>
      <color rgb="FF1F4E78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rgb="FF1F4E78"/>
      <name val="Calibri"/>
      <family val="2"/>
      <scheme val="minor"/>
    </font>
    <font>
      <b/>
      <i/>
      <sz val="11"/>
      <color rgb="FF666666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7F8C8D"/>
        <bgColor indexed="64"/>
      </patternFill>
    </fill>
    <fill>
      <patternFill patternType="solid">
        <fgColor rgb="FFF2F6FA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2F2F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D9E2F3"/>
      </left>
      <right style="thin">
        <color rgb="FFD9E2F3"/>
      </right>
      <top/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/>
      <diagonal/>
    </border>
    <border>
      <left style="thin">
        <color rgb="FFB4C6E7"/>
      </left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 style="thin">
        <color rgb="FFB4C6E7"/>
      </right>
      <top style="thin">
        <color rgb="FFD9E2F3"/>
      </top>
      <bottom/>
      <diagonal/>
    </border>
    <border>
      <left style="thin">
        <color rgb="FFB4C6E7"/>
      </left>
      <right style="thin">
        <color rgb="FFD9E2F3"/>
      </right>
      <top style="double">
        <color rgb="FFBF9000"/>
      </top>
      <bottom style="thin">
        <color rgb="FFB4C6E7"/>
      </bottom>
      <diagonal/>
    </border>
    <border>
      <left style="thin">
        <color rgb="FFD9E2F3"/>
      </left>
      <right style="thin">
        <color rgb="FFD9E2F3"/>
      </right>
      <top style="double">
        <color rgb="FFBF9000"/>
      </top>
      <bottom style="thin">
        <color rgb="FFB4C6E7"/>
      </bottom>
      <diagonal/>
    </border>
    <border>
      <left style="thin">
        <color rgb="FFD9E2F3"/>
      </left>
      <right style="thin">
        <color rgb="FFB4C6E7"/>
      </right>
      <top style="double">
        <color rgb="FFBF9000"/>
      </top>
      <bottom style="thin">
        <color rgb="FFB4C6E7"/>
      </bottom>
      <diagonal/>
    </border>
    <border>
      <left style="thin">
        <color rgb="FFB4C6E7"/>
      </left>
      <right style="thin">
        <color rgb="FFD9E2F3"/>
      </right>
      <top/>
      <bottom style="thin">
        <color rgb="FFD9E2F3"/>
      </bottom>
      <diagonal/>
    </border>
    <border>
      <left style="thin">
        <color rgb="FFD9E2F3"/>
      </left>
      <right style="thin">
        <color rgb="FFB4C6E7"/>
      </right>
      <top/>
      <bottom style="thin">
        <color rgb="FFD9E2F3"/>
      </bottom>
      <diagonal/>
    </border>
    <border>
      <left style="thin">
        <color rgb="FFB4C6E7"/>
      </left>
      <right style="thin">
        <color rgb="FFD9E2F3"/>
      </right>
      <top/>
      <bottom style="thin">
        <color rgb="FFB4C6E7"/>
      </bottom>
      <diagonal/>
    </border>
    <border>
      <left style="thin">
        <color rgb="FFD9E2F3"/>
      </left>
      <right style="thin">
        <color rgb="FFD9E2F3"/>
      </right>
      <top/>
      <bottom style="thin">
        <color rgb="FFB4C6E7"/>
      </bottom>
      <diagonal/>
    </border>
    <border>
      <left style="thin">
        <color rgb="FFD9E2F3"/>
      </left>
      <right style="thin">
        <color rgb="FFB4C6E7"/>
      </right>
      <top/>
      <bottom style="thin">
        <color rgb="FFB4C6E7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0" fillId="0" borderId="4" xfId="0" applyBorder="1"/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3" xfId="0" applyBorder="1"/>
    <xf numFmtId="0" fontId="3" fillId="4" borderId="7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5" fillId="7" borderId="11" xfId="0" applyFont="1" applyFill="1" applyBorder="1" applyAlignment="1">
      <alignment vertical="center" wrapText="1"/>
    </xf>
    <xf numFmtId="0" fontId="6" fillId="8" borderId="12" xfId="0" applyFont="1" applyFill="1" applyBorder="1" applyAlignment="1">
      <alignment horizontal="center" vertical="center"/>
    </xf>
    <xf numFmtId="0" fontId="5" fillId="11" borderId="13" xfId="0" applyFont="1" applyFill="1" applyBorder="1" applyAlignment="1">
      <alignment horizontal="center" vertical="center" wrapText="1"/>
    </xf>
    <xf numFmtId="0" fontId="10" fillId="11" borderId="15" xfId="0" applyFont="1" applyFill="1" applyBorder="1" applyAlignment="1">
      <alignment horizontal="center" vertical="center"/>
    </xf>
    <xf numFmtId="2" fontId="7" fillId="9" borderId="9" xfId="0" applyNumberFormat="1" applyFont="1" applyFill="1" applyBorder="1" applyAlignment="1">
      <alignment horizontal="right" vertical="center"/>
    </xf>
    <xf numFmtId="2" fontId="0" fillId="0" borderId="10" xfId="0" applyNumberFormat="1" applyBorder="1" applyAlignment="1">
      <alignment vertical="center"/>
    </xf>
    <xf numFmtId="2" fontId="0" fillId="0" borderId="6" xfId="0" applyNumberFormat="1" applyBorder="1" applyAlignment="1">
      <alignment horizontal="center" vertical="center"/>
    </xf>
    <xf numFmtId="164" fontId="9" fillId="11" borderId="14" xfId="0" applyNumberFormat="1" applyFont="1" applyFill="1" applyBorder="1" applyAlignment="1">
      <alignment horizontal="right" vertical="center"/>
    </xf>
    <xf numFmtId="0" fontId="5" fillId="7" borderId="16" xfId="0" applyFont="1" applyFill="1" applyBorder="1" applyAlignment="1">
      <alignment vertical="center" wrapText="1"/>
    </xf>
    <xf numFmtId="0" fontId="6" fillId="8" borderId="17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 wrapText="1"/>
    </xf>
    <xf numFmtId="2" fontId="8" fillId="10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/>
    </xf>
    <xf numFmtId="2" fontId="7" fillId="9" borderId="1" xfId="0" applyNumberFormat="1" applyFont="1" applyFill="1" applyBorder="1" applyAlignment="1">
      <alignment horizontal="right" vertical="center"/>
    </xf>
    <xf numFmtId="1" fontId="8" fillId="10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left" vertical="center"/>
    </xf>
    <xf numFmtId="2" fontId="4" fillId="5" borderId="1" xfId="0" applyNumberFormat="1" applyFont="1" applyFill="1" applyBorder="1" applyAlignment="1">
      <alignment horizontal="left" vertical="center"/>
    </xf>
    <xf numFmtId="0" fontId="5" fillId="11" borderId="18" xfId="0" applyFont="1" applyFill="1" applyBorder="1" applyAlignment="1">
      <alignment vertical="center" wrapText="1"/>
    </xf>
    <xf numFmtId="4" fontId="9" fillId="11" borderId="19" xfId="0" applyNumberFormat="1" applyFont="1" applyFill="1" applyBorder="1" applyAlignment="1">
      <alignment horizontal="right" vertical="center"/>
    </xf>
    <xf numFmtId="0" fontId="10" fillId="11" borderId="2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/>
    </xf>
    <xf numFmtId="2" fontId="4" fillId="5" borderId="1" xfId="0" applyNumberFormat="1" applyFont="1" applyFill="1" applyBorder="1" applyAlignment="1">
      <alignment horizontal="left"/>
    </xf>
    <xf numFmtId="2" fontId="0" fillId="0" borderId="1" xfId="0" applyNumberFormat="1" applyBorder="1" applyAlignment="1">
      <alignment vertical="center"/>
    </xf>
    <xf numFmtId="0" fontId="6" fillId="1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4"/>
  <sheetViews>
    <sheetView showGridLines="0" tabSelected="1" workbookViewId="0">
      <selection activeCell="N11" sqref="N11"/>
    </sheetView>
  </sheetViews>
  <sheetFormatPr defaultRowHeight="14.4" x14ac:dyDescent="0.3"/>
  <cols>
    <col min="1" max="1" width="7.6640625" customWidth="1"/>
    <col min="2" max="2" width="35.44140625" bestFit="1" customWidth="1"/>
    <col min="3" max="3" width="14.21875" customWidth="1"/>
    <col min="4" max="4" width="7.77734375" bestFit="1" customWidth="1"/>
    <col min="5" max="5" width="12" bestFit="1" customWidth="1"/>
    <col min="9" max="9" width="31.21875" bestFit="1" customWidth="1"/>
    <col min="10" max="10" width="12" bestFit="1" customWidth="1"/>
    <col min="11" max="11" width="7.109375" bestFit="1" customWidth="1"/>
  </cols>
  <sheetData>
    <row r="1" spans="1:11" ht="23.4" x14ac:dyDescent="0.3">
      <c r="A1" s="2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3" t="s">
        <v>75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x14ac:dyDescent="0.3">
      <c r="B3" s="23" t="s">
        <v>0</v>
      </c>
      <c r="C3" s="24">
        <v>25</v>
      </c>
      <c r="D3" s="25" t="s">
        <v>1</v>
      </c>
      <c r="E3" s="6"/>
      <c r="F3" s="1"/>
      <c r="G3" s="1"/>
      <c r="H3" s="1"/>
      <c r="I3" s="1"/>
      <c r="J3" s="1"/>
      <c r="K3" s="1"/>
    </row>
    <row r="4" spans="1:11" ht="25.8" x14ac:dyDescent="0.5">
      <c r="B4" s="23" t="s">
        <v>80</v>
      </c>
      <c r="C4" s="26">
        <f>C3/1.34</f>
        <v>18.656716417910445</v>
      </c>
      <c r="D4" s="25" t="s">
        <v>2</v>
      </c>
      <c r="E4" s="6"/>
      <c r="F4" s="1"/>
      <c r="G4" s="1"/>
      <c r="H4" s="1"/>
      <c r="I4" s="10" t="s">
        <v>76</v>
      </c>
      <c r="J4" s="11"/>
      <c r="K4" s="12"/>
    </row>
    <row r="5" spans="1:11" x14ac:dyDescent="0.3">
      <c r="B5" s="23" t="s">
        <v>3</v>
      </c>
      <c r="C5" s="26">
        <f>C7/C6</f>
        <v>1.5</v>
      </c>
      <c r="D5" s="25"/>
      <c r="E5" s="6"/>
      <c r="F5" s="1"/>
      <c r="G5" s="1"/>
      <c r="H5" s="9"/>
      <c r="I5" s="23" t="s">
        <v>30</v>
      </c>
      <c r="J5" s="26">
        <f>1.25*C21</f>
        <v>2119.5</v>
      </c>
      <c r="K5" s="25" t="s">
        <v>28</v>
      </c>
    </row>
    <row r="6" spans="1:11" x14ac:dyDescent="0.3">
      <c r="B6" s="23" t="s">
        <v>4</v>
      </c>
      <c r="C6" s="27">
        <v>140</v>
      </c>
      <c r="D6" s="25" t="s">
        <v>5</v>
      </c>
      <c r="E6" s="6"/>
      <c r="F6" s="1"/>
      <c r="G6" s="1"/>
      <c r="H6" s="9"/>
      <c r="I6" s="23" t="s">
        <v>31</v>
      </c>
      <c r="J6" s="27">
        <v>6</v>
      </c>
      <c r="K6" s="25"/>
    </row>
    <row r="7" spans="1:11" x14ac:dyDescent="0.3">
      <c r="B7" s="23" t="s">
        <v>6</v>
      </c>
      <c r="C7" s="27">
        <v>210</v>
      </c>
      <c r="D7" s="25" t="s">
        <v>5</v>
      </c>
      <c r="E7" s="6"/>
      <c r="F7" s="1"/>
      <c r="G7" s="1"/>
      <c r="H7" s="9"/>
      <c r="I7" s="23" t="s">
        <v>32</v>
      </c>
      <c r="J7" s="26">
        <f>J5/6</f>
        <v>353.25</v>
      </c>
      <c r="K7" s="25" t="s">
        <v>28</v>
      </c>
    </row>
    <row r="8" spans="1:11" x14ac:dyDescent="0.3">
      <c r="B8" s="23" t="s">
        <v>7</v>
      </c>
      <c r="C8" s="27">
        <v>2200</v>
      </c>
      <c r="D8" s="25" t="s">
        <v>8</v>
      </c>
      <c r="E8" s="6"/>
      <c r="F8" s="1"/>
      <c r="G8" s="1"/>
      <c r="H8" s="9"/>
      <c r="I8" s="23" t="s">
        <v>33</v>
      </c>
      <c r="J8" s="26">
        <f>((4*J6-1)/(4*J6-4))+(0.615/J6)</f>
        <v>1.2524999999999999</v>
      </c>
      <c r="K8" s="25"/>
    </row>
    <row r="9" spans="1:11" x14ac:dyDescent="0.3">
      <c r="B9" s="23" t="s">
        <v>9</v>
      </c>
      <c r="C9" s="26">
        <f>(C4*60000)/(2*3.14*C8)</f>
        <v>81.022219533484858</v>
      </c>
      <c r="D9" s="25" t="s">
        <v>11</v>
      </c>
      <c r="E9" s="6"/>
      <c r="F9" s="1"/>
      <c r="G9" s="1"/>
      <c r="H9" s="9"/>
      <c r="I9" s="23" t="s">
        <v>34</v>
      </c>
      <c r="J9" s="27">
        <v>529</v>
      </c>
      <c r="K9" s="25" t="s">
        <v>36</v>
      </c>
    </row>
    <row r="10" spans="1:11" x14ac:dyDescent="0.3">
      <c r="B10" s="23" t="s">
        <v>10</v>
      </c>
      <c r="C10" s="26">
        <f>C9*C5</f>
        <v>121.53332930022728</v>
      </c>
      <c r="D10" s="25" t="s">
        <v>11</v>
      </c>
      <c r="E10" s="6">
        <f>1.6*C10</f>
        <v>194.45332688036365</v>
      </c>
      <c r="F10" s="1"/>
      <c r="G10" s="1"/>
      <c r="H10" s="9"/>
      <c r="I10" s="23" t="s">
        <v>35</v>
      </c>
      <c r="J10" s="26">
        <f>((8*J7*J6)/3.14)*J8</f>
        <v>6763.5</v>
      </c>
      <c r="K10" s="25"/>
    </row>
    <row r="11" spans="1:11" x14ac:dyDescent="0.3">
      <c r="B11" s="23" t="s">
        <v>12</v>
      </c>
      <c r="C11" s="27">
        <v>6</v>
      </c>
      <c r="D11" s="25"/>
      <c r="E11" s="6"/>
      <c r="F11" s="1"/>
      <c r="G11" s="1"/>
      <c r="H11" s="9"/>
      <c r="I11" s="23"/>
      <c r="J11" s="26">
        <f>J10/J9</f>
        <v>12.785444234404537</v>
      </c>
      <c r="K11" s="25" t="s">
        <v>5</v>
      </c>
    </row>
    <row r="12" spans="1:11" x14ac:dyDescent="0.3">
      <c r="B12" s="23" t="s">
        <v>13</v>
      </c>
      <c r="C12" s="27">
        <v>5</v>
      </c>
      <c r="D12" s="25"/>
      <c r="E12" s="6"/>
      <c r="F12" s="1"/>
      <c r="G12" s="1"/>
      <c r="H12" s="9"/>
      <c r="I12" s="23"/>
      <c r="J12" s="26">
        <f>SQRT(J11)</f>
        <v>3.5756739552711649</v>
      </c>
      <c r="K12" s="25" t="s">
        <v>5</v>
      </c>
    </row>
    <row r="13" spans="1:11" x14ac:dyDescent="0.3">
      <c r="B13" s="23" t="s">
        <v>14</v>
      </c>
      <c r="C13" s="26">
        <f>(C11+C12)-1</f>
        <v>10</v>
      </c>
      <c r="D13" s="25"/>
      <c r="E13" s="6"/>
      <c r="F13" s="1"/>
      <c r="G13" s="1"/>
      <c r="H13" s="9"/>
      <c r="I13" s="1"/>
      <c r="J13" s="1"/>
      <c r="K13" s="1"/>
    </row>
    <row r="14" spans="1:11" x14ac:dyDescent="0.3">
      <c r="B14" s="23" t="s">
        <v>15</v>
      </c>
      <c r="C14" s="24">
        <v>0.3</v>
      </c>
      <c r="D14" s="25"/>
      <c r="E14" s="6"/>
      <c r="F14" s="1"/>
      <c r="G14" s="1"/>
      <c r="H14" s="9"/>
      <c r="I14" s="1"/>
      <c r="J14" s="1"/>
      <c r="K14" s="1"/>
    </row>
    <row r="15" spans="1:11" x14ac:dyDescent="0.3">
      <c r="B15" s="23" t="s">
        <v>16</v>
      </c>
      <c r="C15" s="24">
        <v>165</v>
      </c>
      <c r="D15" s="25" t="s">
        <v>5</v>
      </c>
      <c r="E15" s="6"/>
      <c r="F15" s="1"/>
      <c r="G15" s="1"/>
      <c r="H15" s="1"/>
      <c r="I15" s="1"/>
      <c r="J15" s="1"/>
      <c r="K15" s="1"/>
    </row>
    <row r="16" spans="1:11" x14ac:dyDescent="0.3">
      <c r="B16" s="23" t="s">
        <v>17</v>
      </c>
      <c r="C16" s="24">
        <v>120</v>
      </c>
      <c r="D16" s="25" t="s">
        <v>5</v>
      </c>
      <c r="E16" s="6"/>
      <c r="F16" s="1"/>
      <c r="G16" s="1"/>
      <c r="H16" s="1"/>
      <c r="I16" s="1"/>
      <c r="J16" s="1"/>
      <c r="K16" s="1"/>
    </row>
    <row r="17" spans="2:11" x14ac:dyDescent="0.3">
      <c r="B17" s="23" t="s">
        <v>18</v>
      </c>
      <c r="C17" s="26">
        <f>C15/2</f>
        <v>82.5</v>
      </c>
      <c r="D17" s="25" t="s">
        <v>5</v>
      </c>
      <c r="E17" s="6"/>
      <c r="F17" s="1"/>
      <c r="G17" s="1"/>
      <c r="H17" s="1"/>
      <c r="I17" s="1"/>
      <c r="J17" s="1"/>
      <c r="K17" s="1"/>
    </row>
    <row r="18" spans="2:11" x14ac:dyDescent="0.3">
      <c r="B18" s="23" t="s">
        <v>19</v>
      </c>
      <c r="C18" s="26">
        <f>C16/2</f>
        <v>60</v>
      </c>
      <c r="D18" s="25" t="s">
        <v>5</v>
      </c>
      <c r="E18" s="6"/>
      <c r="F18" s="1"/>
      <c r="G18" s="1"/>
      <c r="H18" s="1"/>
      <c r="I18" s="1"/>
      <c r="J18" s="1"/>
      <c r="K18" s="1"/>
    </row>
    <row r="19" spans="2:11" x14ac:dyDescent="0.3">
      <c r="B19" s="23" t="s">
        <v>20</v>
      </c>
      <c r="C19" s="24">
        <v>0.2</v>
      </c>
      <c r="D19" s="25" t="s">
        <v>21</v>
      </c>
      <c r="E19" s="6"/>
      <c r="F19" s="1"/>
      <c r="G19" s="1"/>
      <c r="H19" s="1"/>
      <c r="I19" s="1"/>
      <c r="J19" s="1"/>
      <c r="K19" s="1"/>
    </row>
    <row r="20" spans="2:11" x14ac:dyDescent="0.3">
      <c r="B20" s="23" t="s">
        <v>22</v>
      </c>
      <c r="C20" s="26">
        <f>C19*C18</f>
        <v>12</v>
      </c>
      <c r="D20" s="25" t="s">
        <v>21</v>
      </c>
      <c r="E20" s="6"/>
      <c r="F20" s="1"/>
      <c r="G20" s="1"/>
      <c r="H20" s="1"/>
      <c r="I20" s="1"/>
      <c r="J20" s="1"/>
      <c r="K20" s="1"/>
    </row>
    <row r="21" spans="2:11" x14ac:dyDescent="0.3">
      <c r="B21" s="23" t="s">
        <v>23</v>
      </c>
      <c r="C21" s="26">
        <f>(2*3.14*C20)*(C17-C18)</f>
        <v>1695.6</v>
      </c>
      <c r="D21" s="25" t="s">
        <v>28</v>
      </c>
      <c r="E21" s="6"/>
      <c r="F21" s="1"/>
      <c r="G21" s="1"/>
      <c r="H21" s="1"/>
      <c r="I21" s="1"/>
      <c r="J21" s="1"/>
      <c r="K21" s="1"/>
    </row>
    <row r="22" spans="2:11" x14ac:dyDescent="0.3">
      <c r="B22" s="28" t="s">
        <v>77</v>
      </c>
      <c r="C22" s="29"/>
      <c r="D22" s="28"/>
      <c r="E22" s="6"/>
      <c r="F22" s="1"/>
      <c r="G22" s="1"/>
      <c r="H22" s="1"/>
      <c r="I22" s="1"/>
      <c r="J22" s="1"/>
      <c r="K22" s="1"/>
    </row>
    <row r="23" spans="2:11" x14ac:dyDescent="0.3">
      <c r="B23" s="23" t="s">
        <v>24</v>
      </c>
      <c r="C23" s="26">
        <f>C10/C13</f>
        <v>12.153332930022728</v>
      </c>
      <c r="D23" s="25" t="s">
        <v>11</v>
      </c>
      <c r="E23" s="6"/>
      <c r="F23" s="1"/>
      <c r="G23" s="1"/>
      <c r="H23" s="1"/>
      <c r="I23" s="1"/>
      <c r="J23" s="1"/>
      <c r="K23" s="1"/>
    </row>
    <row r="24" spans="2:11" x14ac:dyDescent="0.3">
      <c r="B24" s="23" t="s">
        <v>81</v>
      </c>
      <c r="C24" s="26">
        <f>C23*1000</f>
        <v>12153.332930022729</v>
      </c>
      <c r="D24" s="25" t="s">
        <v>25</v>
      </c>
      <c r="E24" s="6"/>
      <c r="F24" s="1"/>
      <c r="G24" s="1"/>
      <c r="H24" s="1"/>
      <c r="I24" s="1"/>
      <c r="J24" s="1"/>
      <c r="K24" s="1"/>
    </row>
    <row r="25" spans="2:11" x14ac:dyDescent="0.3">
      <c r="B25" s="23" t="s">
        <v>26</v>
      </c>
      <c r="C25" s="26">
        <f>(C17+C18)/2</f>
        <v>71.25</v>
      </c>
      <c r="D25" s="25" t="s">
        <v>5</v>
      </c>
      <c r="E25" s="6"/>
      <c r="F25" s="1"/>
      <c r="G25" s="1"/>
      <c r="H25" s="1"/>
      <c r="I25" s="1"/>
      <c r="J25" s="1"/>
      <c r="K25" s="1"/>
    </row>
    <row r="26" spans="2:11" x14ac:dyDescent="0.3">
      <c r="B26" s="23" t="s">
        <v>27</v>
      </c>
      <c r="C26" s="26">
        <f>C24/(C14*C25)</f>
        <v>568.57697918234987</v>
      </c>
      <c r="D26" s="25" t="s">
        <v>28</v>
      </c>
      <c r="E26" s="6"/>
      <c r="F26" s="1"/>
      <c r="G26" s="1"/>
      <c r="H26" s="1"/>
      <c r="I26" s="1"/>
      <c r="J26" s="1"/>
      <c r="K26" s="1"/>
    </row>
    <row r="27" spans="2:11" x14ac:dyDescent="0.3">
      <c r="B27" s="21" t="s">
        <v>29</v>
      </c>
      <c r="C27" s="17">
        <f>C13*C14*C21*(C25/1000)</f>
        <v>362.4344999999999</v>
      </c>
      <c r="D27" s="22"/>
      <c r="E27" s="6"/>
      <c r="F27" s="1"/>
      <c r="G27" s="1"/>
      <c r="H27" s="1"/>
      <c r="I27" s="1"/>
      <c r="J27" s="1"/>
      <c r="K27" s="1"/>
    </row>
    <row r="28" spans="2:11" ht="15" thickBot="1" x14ac:dyDescent="0.35">
      <c r="B28" s="13"/>
      <c r="C28" s="18"/>
      <c r="D28" s="14"/>
      <c r="E28" s="6"/>
      <c r="F28" s="1"/>
      <c r="G28" s="1"/>
      <c r="H28" s="1"/>
      <c r="I28" s="1"/>
      <c r="J28" s="1"/>
      <c r="K28" s="1"/>
    </row>
    <row r="29" spans="2:11" ht="15" thickTop="1" x14ac:dyDescent="0.3">
      <c r="B29" s="15" t="s">
        <v>37</v>
      </c>
      <c r="C29" s="20">
        <f>C27/C10</f>
        <v>2.9821819420799995</v>
      </c>
      <c r="D29" s="16"/>
      <c r="E29" s="6"/>
      <c r="F29" s="1"/>
      <c r="G29" s="1"/>
      <c r="H29" s="1"/>
      <c r="I29" s="1"/>
      <c r="J29" s="1"/>
      <c r="K29" s="1"/>
    </row>
    <row r="30" spans="2:11" x14ac:dyDescent="0.3">
      <c r="B30" s="7"/>
      <c r="C30" s="19"/>
      <c r="D30" s="8"/>
      <c r="E30" s="1"/>
      <c r="F30" s="1"/>
      <c r="G30" s="1"/>
      <c r="H30" s="1"/>
      <c r="I30" s="1"/>
      <c r="J30" s="1"/>
      <c r="K30" s="1"/>
    </row>
    <row r="31" spans="2:11" x14ac:dyDescent="0.3">
      <c r="B31" s="33" t="s">
        <v>78</v>
      </c>
      <c r="C31" s="34"/>
      <c r="D31" s="33"/>
    </row>
    <row r="32" spans="2:11" x14ac:dyDescent="0.3">
      <c r="B32" s="23" t="s">
        <v>38</v>
      </c>
      <c r="C32" s="26">
        <f>(2*3.14*C8)/60</f>
        <v>230.26666666666668</v>
      </c>
      <c r="D32" s="25" t="s">
        <v>39</v>
      </c>
    </row>
    <row r="33" spans="2:11" x14ac:dyDescent="0.3">
      <c r="B33" s="23" t="s">
        <v>40</v>
      </c>
      <c r="C33" s="27">
        <v>5</v>
      </c>
      <c r="D33" s="25"/>
      <c r="I33" t="s">
        <v>73</v>
      </c>
      <c r="J33">
        <f>(C10*10000)/(2*3.14*C19*((C15+C16)/2)*C14*(C25^2))</f>
        <v>4.4586142462833234</v>
      </c>
    </row>
    <row r="34" spans="2:11" x14ac:dyDescent="0.3">
      <c r="B34" s="23" t="s">
        <v>41</v>
      </c>
      <c r="C34" s="35"/>
      <c r="D34" s="25"/>
    </row>
    <row r="35" spans="2:11" x14ac:dyDescent="0.3">
      <c r="B35" s="23" t="s">
        <v>42</v>
      </c>
      <c r="C35" s="27">
        <v>55</v>
      </c>
      <c r="D35" s="25" t="s">
        <v>43</v>
      </c>
    </row>
    <row r="36" spans="2:11" x14ac:dyDescent="0.3">
      <c r="B36" s="23" t="s">
        <v>82</v>
      </c>
      <c r="C36" s="26">
        <f>(C35*1000)/3600</f>
        <v>15.277777777777779</v>
      </c>
      <c r="D36" s="25" t="s">
        <v>44</v>
      </c>
    </row>
    <row r="37" spans="2:11" x14ac:dyDescent="0.3">
      <c r="B37" s="23" t="s">
        <v>45</v>
      </c>
      <c r="C37" s="24">
        <v>0.4</v>
      </c>
      <c r="D37" s="25" t="s">
        <v>46</v>
      </c>
    </row>
    <row r="38" spans="2:11" x14ac:dyDescent="0.3">
      <c r="B38" s="23" t="s">
        <v>47</v>
      </c>
      <c r="C38" s="26">
        <f>C36/C37</f>
        <v>38.194444444444443</v>
      </c>
      <c r="D38" s="25" t="s">
        <v>39</v>
      </c>
    </row>
    <row r="39" spans="2:11" x14ac:dyDescent="0.3">
      <c r="B39" s="23" t="s">
        <v>48</v>
      </c>
      <c r="C39" s="26">
        <f>C38*C33</f>
        <v>190.97222222222223</v>
      </c>
      <c r="D39" s="25" t="s">
        <v>39</v>
      </c>
      <c r="I39" s="5" t="s">
        <v>79</v>
      </c>
      <c r="J39" s="5"/>
      <c r="K39" s="5"/>
    </row>
    <row r="40" spans="2:11" x14ac:dyDescent="0.3">
      <c r="B40" s="23" t="s">
        <v>49</v>
      </c>
      <c r="C40" s="27">
        <v>75</v>
      </c>
      <c r="D40" s="25" t="s">
        <v>50</v>
      </c>
      <c r="I40" s="36" t="s">
        <v>60</v>
      </c>
      <c r="J40" s="36"/>
      <c r="K40" s="36"/>
    </row>
    <row r="41" spans="2:11" x14ac:dyDescent="0.3">
      <c r="B41" s="23" t="s">
        <v>51</v>
      </c>
      <c r="C41" s="26">
        <f>(C40-C10)/1</f>
        <v>-46.53332930022728</v>
      </c>
      <c r="D41" s="25" t="s">
        <v>39</v>
      </c>
      <c r="I41" s="36" t="s">
        <v>61</v>
      </c>
      <c r="J41" s="36"/>
      <c r="K41" s="36"/>
    </row>
    <row r="42" spans="2:11" x14ac:dyDescent="0.3">
      <c r="B42" s="23" t="s">
        <v>53</v>
      </c>
      <c r="C42" s="27">
        <v>175</v>
      </c>
      <c r="D42" s="25" t="s">
        <v>50</v>
      </c>
      <c r="I42" s="36" t="s">
        <v>62</v>
      </c>
      <c r="J42" s="36"/>
      <c r="K42" s="36"/>
    </row>
    <row r="43" spans="2:11" x14ac:dyDescent="0.3">
      <c r="B43" s="23" t="s">
        <v>52</v>
      </c>
      <c r="C43" s="26">
        <f>C42/C37</f>
        <v>437.5</v>
      </c>
      <c r="D43" s="25" t="s">
        <v>28</v>
      </c>
      <c r="I43" s="36" t="s">
        <v>63</v>
      </c>
      <c r="J43" s="36"/>
      <c r="K43" s="36"/>
    </row>
    <row r="44" spans="2:11" x14ac:dyDescent="0.3">
      <c r="B44" s="23" t="s">
        <v>54</v>
      </c>
      <c r="C44" s="27">
        <v>1500</v>
      </c>
      <c r="D44" s="25" t="s">
        <v>55</v>
      </c>
      <c r="I44" s="36" t="s">
        <v>64</v>
      </c>
      <c r="J44" s="36"/>
      <c r="K44" s="36"/>
    </row>
    <row r="45" spans="2:11" x14ac:dyDescent="0.3">
      <c r="B45" s="23" t="s">
        <v>83</v>
      </c>
      <c r="C45" s="26">
        <f>C44*9.81</f>
        <v>14715</v>
      </c>
      <c r="D45" s="25" t="s">
        <v>28</v>
      </c>
    </row>
    <row r="46" spans="2:11" x14ac:dyDescent="0.3">
      <c r="B46" s="23" t="s">
        <v>84</v>
      </c>
      <c r="C46" s="26">
        <f>C43/C44</f>
        <v>0.29166666666666669</v>
      </c>
      <c r="D46" s="25" t="s">
        <v>56</v>
      </c>
    </row>
    <row r="47" spans="2:11" x14ac:dyDescent="0.3">
      <c r="B47" s="23" t="s">
        <v>57</v>
      </c>
      <c r="C47" s="26">
        <f>(C46*C33)/C37</f>
        <v>3.6458333333333335</v>
      </c>
      <c r="D47" s="25" t="s">
        <v>58</v>
      </c>
    </row>
    <row r="48" spans="2:11" x14ac:dyDescent="0.3">
      <c r="B48" s="23" t="s">
        <v>59</v>
      </c>
      <c r="C48" s="26">
        <f>(C32-C39)/(C47-C41)</f>
        <v>0.78308290497784649</v>
      </c>
      <c r="D48" s="25" t="s">
        <v>65</v>
      </c>
    </row>
    <row r="49" spans="2:4" x14ac:dyDescent="0.3">
      <c r="B49" s="23" t="s">
        <v>66</v>
      </c>
      <c r="C49" s="26">
        <f>(C39*C48)-(0.5*C41*(C48^2))</f>
        <v>163.81463956379241</v>
      </c>
      <c r="D49" s="25" t="s">
        <v>39</v>
      </c>
    </row>
    <row r="50" spans="2:4" x14ac:dyDescent="0.3">
      <c r="B50" s="23" t="s">
        <v>67</v>
      </c>
      <c r="C50" s="26">
        <f>(C32*C48)-(0.5*C41*(C48^2))</f>
        <v>194.58544726883861</v>
      </c>
      <c r="D50" s="25" t="s">
        <v>39</v>
      </c>
    </row>
    <row r="51" spans="2:4" x14ac:dyDescent="0.3">
      <c r="B51" s="23" t="s">
        <v>68</v>
      </c>
      <c r="C51" s="26">
        <f>C50-C49</f>
        <v>30.770807705046195</v>
      </c>
      <c r="D51" s="25" t="s">
        <v>39</v>
      </c>
    </row>
    <row r="52" spans="2:4" x14ac:dyDescent="0.3">
      <c r="B52" s="23" t="s">
        <v>69</v>
      </c>
      <c r="C52" s="26">
        <f>C51/(2*3.14)</f>
        <v>4.8998101441156363</v>
      </c>
      <c r="D52" s="25"/>
    </row>
    <row r="53" spans="2:4" x14ac:dyDescent="0.3">
      <c r="B53" s="23" t="s">
        <v>70</v>
      </c>
      <c r="C53" s="26">
        <f>C52/4</f>
        <v>1.2249525360289091</v>
      </c>
      <c r="D53" s="25"/>
    </row>
    <row r="54" spans="2:4" x14ac:dyDescent="0.3">
      <c r="B54" s="30" t="s">
        <v>71</v>
      </c>
      <c r="C54" s="31">
        <f>C10*C51</f>
        <v>3739.6787056513499</v>
      </c>
      <c r="D54" s="32" t="s">
        <v>72</v>
      </c>
    </row>
  </sheetData>
  <mergeCells count="13">
    <mergeCell ref="I43:K43"/>
    <mergeCell ref="I44:K44"/>
    <mergeCell ref="B31:D31"/>
    <mergeCell ref="I39:K39"/>
    <mergeCell ref="I40:K40"/>
    <mergeCell ref="I41:K41"/>
    <mergeCell ref="I42:K42"/>
    <mergeCell ref="B29:B30"/>
    <mergeCell ref="C29:C30"/>
    <mergeCell ref="A1:K1"/>
    <mergeCell ref="A2:K2"/>
    <mergeCell ref="I4:K4"/>
    <mergeCell ref="B22:D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Clutch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2026-08-09T08:36:19Z</dcterms:modified>
</cp:coreProperties>
</file>