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88AFBFC-92C8-4F33-85DF-073ED4FFAA8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pur" sheetId="1" r:id="rId1"/>
    <sheet name="Helical" sheetId="2" r:id="rId2"/>
    <sheet name="Stright Bevel" sheetId="3" r:id="rId3"/>
    <sheet name="Spiral" sheetId="4" r:id="rId4"/>
    <sheet name="Worm" sheetId="5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" l="1"/>
  <c r="G27" i="5" s="1"/>
  <c r="I23" i="4"/>
  <c r="I21" i="4"/>
  <c r="I20" i="4"/>
  <c r="J16" i="5"/>
  <c r="K16" i="5" s="1"/>
  <c r="J15" i="5"/>
  <c r="K15" i="5" s="1"/>
  <c r="J14" i="5"/>
  <c r="G13" i="5"/>
  <c r="H14" i="5" s="1"/>
  <c r="G12" i="5"/>
  <c r="J17" i="5" s="1"/>
  <c r="H11" i="5"/>
  <c r="J13" i="4"/>
  <c r="F12" i="4"/>
  <c r="G12" i="4" s="1"/>
  <c r="G13" i="4" s="1"/>
  <c r="G14" i="4" s="1"/>
  <c r="G11" i="4"/>
  <c r="F11" i="4"/>
  <c r="E12" i="3"/>
  <c r="F12" i="3" s="1"/>
  <c r="F11" i="3"/>
  <c r="E11" i="3"/>
  <c r="J10" i="2"/>
  <c r="E9" i="2" s="1"/>
  <c r="E10" i="2"/>
  <c r="E11" i="2" s="1"/>
  <c r="F14" i="2"/>
  <c r="F10" i="2"/>
  <c r="F11" i="2" s="1"/>
  <c r="F13" i="2" s="1"/>
  <c r="F12" i="1"/>
  <c r="F8" i="1"/>
  <c r="F9" i="1" s="1"/>
  <c r="F11" i="1" s="1"/>
  <c r="E8" i="1"/>
  <c r="E9" i="1" s="1"/>
  <c r="E11" i="1" s="1"/>
  <c r="E13" i="3" l="1"/>
  <c r="E14" i="3" s="1"/>
  <c r="F13" i="3"/>
  <c r="F14" i="3" s="1"/>
  <c r="E16" i="3"/>
  <c r="E15" i="3"/>
  <c r="I22" i="4"/>
  <c r="I24" i="4"/>
  <c r="F13" i="4"/>
  <c r="F14" i="4" s="1"/>
  <c r="F16" i="4" s="1"/>
  <c r="I25" i="4"/>
  <c r="I26" i="4"/>
  <c r="F15" i="3"/>
  <c r="F16" i="3"/>
  <c r="J18" i="5"/>
  <c r="J19" i="5"/>
  <c r="G15" i="5"/>
  <c r="K17" i="5"/>
  <c r="K14" i="5"/>
  <c r="G16" i="4"/>
  <c r="G17" i="4"/>
  <c r="G18" i="4"/>
  <c r="E13" i="2"/>
  <c r="E12" i="2"/>
  <c r="F12" i="2"/>
  <c r="F17" i="3" l="1"/>
  <c r="G23" i="4"/>
  <c r="F24" i="4" s="1"/>
  <c r="F20" i="4"/>
  <c r="G21" i="4" s="1"/>
  <c r="F23" i="4"/>
  <c r="G24" i="4" s="1"/>
  <c r="F21" i="4"/>
  <c r="G20" i="4" s="1"/>
  <c r="F17" i="4"/>
  <c r="J20" i="5"/>
  <c r="H13" i="5" s="1"/>
  <c r="G14" i="5" l="1"/>
  <c r="G17" i="5"/>
  <c r="G16" i="5"/>
</calcChain>
</file>

<file path=xl/sharedStrings.xml><?xml version="1.0" encoding="utf-8"?>
<sst xmlns="http://schemas.openxmlformats.org/spreadsheetml/2006/main" count="257" uniqueCount="114">
  <si>
    <t>MODULE</t>
  </si>
  <si>
    <t>m</t>
  </si>
  <si>
    <t>mm</t>
  </si>
  <si>
    <t>SLNO</t>
  </si>
  <si>
    <t>SYMBOL</t>
  </si>
  <si>
    <t>UNIT</t>
  </si>
  <si>
    <t>FORMULA</t>
  </si>
  <si>
    <t>PINION</t>
  </si>
  <si>
    <t>GEAR</t>
  </si>
  <si>
    <t>SPUR</t>
  </si>
  <si>
    <t>NORMAL PRESSURE ANGLE</t>
  </si>
  <si>
    <t>αn</t>
  </si>
  <si>
    <t>DEGREE</t>
  </si>
  <si>
    <t>NO OF TEETH</t>
  </si>
  <si>
    <t>z</t>
  </si>
  <si>
    <t>INPUT TORQUE</t>
  </si>
  <si>
    <t>REFERENCE DIA</t>
  </si>
  <si>
    <t>T1</t>
  </si>
  <si>
    <t>N-M</t>
  </si>
  <si>
    <t>d</t>
  </si>
  <si>
    <t>TANGENTIAL FORCE</t>
  </si>
  <si>
    <t>Ft</t>
  </si>
  <si>
    <t>AXIAL FORCE</t>
  </si>
  <si>
    <t>Fx</t>
  </si>
  <si>
    <t>RADIAL FORCE</t>
  </si>
  <si>
    <t>Fr</t>
  </si>
  <si>
    <t>OUTPUT TORQUE</t>
  </si>
  <si>
    <t>T2</t>
  </si>
  <si>
    <t>zm</t>
  </si>
  <si>
    <t>2000T/d</t>
  </si>
  <si>
    <t xml:space="preserve">Ft tan α </t>
  </si>
  <si>
    <t>N</t>
  </si>
  <si>
    <t>SPUR GEAR FORCES</t>
  </si>
  <si>
    <t>TRANSVERSE MODULE</t>
  </si>
  <si>
    <t>TRANSVERSE PRESSURE ANGLE</t>
  </si>
  <si>
    <t>HELIX ANGLE</t>
  </si>
  <si>
    <t xml:space="preserve"> β</t>
  </si>
  <si>
    <t>αt</t>
  </si>
  <si>
    <t>IN</t>
  </si>
  <si>
    <t>Ft (tan αn / cos β)</t>
  </si>
  <si>
    <t>HELICAL</t>
  </si>
  <si>
    <t>HELICAL GEAR FORCES</t>
  </si>
  <si>
    <t>STRAIGHT BEVEL GEAR FORCES</t>
  </si>
  <si>
    <t>STRAIGHT BEVEL</t>
  </si>
  <si>
    <t>SHAFT ANGLE</t>
  </si>
  <si>
    <t>Σ</t>
  </si>
  <si>
    <t>mt</t>
  </si>
  <si>
    <t>PRESSURE ANGLE</t>
  </si>
  <si>
    <t>α</t>
  </si>
  <si>
    <t>Z</t>
  </si>
  <si>
    <t>SPIRAL ANGLE</t>
  </si>
  <si>
    <t>β</t>
  </si>
  <si>
    <t>FACE WIDTH</t>
  </si>
  <si>
    <t>b</t>
  </si>
  <si>
    <t>t1</t>
  </si>
  <si>
    <t>N-m</t>
  </si>
  <si>
    <t>REFERENCE DIAMETER</t>
  </si>
  <si>
    <t>REFERENCE CONE ANGLE</t>
  </si>
  <si>
    <t>δ1, δ2,</t>
  </si>
  <si>
    <t>INV TAN(Z1/Z2), Σ-δ1</t>
  </si>
  <si>
    <t>Zmt</t>
  </si>
  <si>
    <t>REFERENCE DIA CENTRE</t>
  </si>
  <si>
    <t>dm</t>
  </si>
  <si>
    <t>d-bsinδ</t>
  </si>
  <si>
    <t>2000T/dm</t>
  </si>
  <si>
    <t>Ft tan α sinδ</t>
  </si>
  <si>
    <t>Ft tan α cos δ</t>
  </si>
  <si>
    <t>Ft dm2/2000</t>
  </si>
  <si>
    <t>SPIRAL BEVEL GEAR FORCES</t>
  </si>
  <si>
    <t>CONTACT FACE</t>
  </si>
  <si>
    <t>Ft/COSβ * (tan αn sinδ1 - sinβcosδ1)</t>
  </si>
  <si>
    <t>Ft/COSβ * (tan αn sinδ2 - sinβcosδ2)</t>
  </si>
  <si>
    <t>Ft/COSβ * (tan αn cosδ1 - sinβsinδ1)</t>
  </si>
  <si>
    <t>Ft/COSβ * (tan αn cosδ2 - sinβsinδ2)</t>
  </si>
  <si>
    <t>SPECIFICATIONS</t>
  </si>
  <si>
    <t>WORM GEAR PAIR</t>
  </si>
  <si>
    <t xml:space="preserve">WORM </t>
  </si>
  <si>
    <t>WHEEL</t>
  </si>
  <si>
    <t>DEG</t>
  </si>
  <si>
    <t>S</t>
  </si>
  <si>
    <t>AXIAL/TRANSVERSE MODULE</t>
  </si>
  <si>
    <t>mx,mt</t>
  </si>
  <si>
    <t>NO.OF TEETH</t>
  </si>
  <si>
    <t>d1</t>
  </si>
  <si>
    <t>CO-EFFICIENT OF FRICTION</t>
  </si>
  <si>
    <t>µ</t>
  </si>
  <si>
    <t>N.m</t>
  </si>
  <si>
    <t>d2</t>
  </si>
  <si>
    <t>Z2*mt</t>
  </si>
  <si>
    <t>RENCE CYLINDER LEAD ANGLE</t>
  </si>
  <si>
    <t>U</t>
  </si>
  <si>
    <t>Ft1,Ft2</t>
  </si>
  <si>
    <t>2000*TI/d1</t>
  </si>
  <si>
    <t>cosa</t>
  </si>
  <si>
    <t>cosg</t>
  </si>
  <si>
    <t>sina</t>
  </si>
  <si>
    <t>sing</t>
  </si>
  <si>
    <t>RADIAL LOAD</t>
  </si>
  <si>
    <t>EFFICIENCY</t>
  </si>
  <si>
    <t>WORM GEAR PAIR CALCULATIONS</t>
  </si>
  <si>
    <t>COSB</t>
  </si>
  <si>
    <t>TANA</t>
  </si>
  <si>
    <t>SIND1</t>
  </si>
  <si>
    <t>SINB</t>
  </si>
  <si>
    <t>COSD1</t>
  </si>
  <si>
    <t>SIND2</t>
  </si>
  <si>
    <t>COSD2</t>
  </si>
  <si>
    <t>SPIRAL  BEVEL</t>
  </si>
  <si>
    <t>Ft/COSβ * (tan αn sinδ1 + sinβcosδ1)</t>
  </si>
  <si>
    <t>Ft/COSβ * (tan αn cosδ2+ sinβsinδ2)</t>
  </si>
  <si>
    <t>Ft/COSβ * (tan αn sinδ2 + sinβcosδ2)</t>
  </si>
  <si>
    <t>Ft/COSβ * (tan αn cosδ1 + sinβsinδ1)</t>
  </si>
  <si>
    <r>
      <t xml:space="preserve">Ft tan </t>
    </r>
    <r>
      <rPr>
        <sz val="11"/>
        <color theme="1"/>
        <rFont val="Calibri"/>
        <family val="2"/>
        <scheme val="minor"/>
      </rPr>
      <t>β</t>
    </r>
  </si>
  <si>
    <r>
      <t>tan</t>
    </r>
    <r>
      <rPr>
        <sz val="11"/>
        <color theme="1"/>
        <rFont val="Calibri"/>
        <family val="2"/>
        <scheme val="minor"/>
      </rPr>
      <t>₋₁(mx*Z1/d1)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</si>
</sst>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ptos"/>
    </font>
    <font>
      <sz val="10"/>
      <color rgb="FF1F1F1F"/>
      <name val="Aptos"/>
    </font>
    <font>
      <b/>
      <sz val="10"/>
      <color rgb="FFFFFFFF"/>
      <name val="Aptos"/>
    </font>
    <font>
      <b/>
      <sz val="17"/>
      <color rgb="FFFFFFFF"/>
      <name val="Aptos"/>
    </font>
    <font>
      <i/>
      <sz val="10"/>
      <color rgb="FF666666"/>
      <name val="Aptos"/>
    </font>
    <font>
      <b/>
      <sz val="10"/>
      <color rgb="FF1F1F1F"/>
      <name val="Aptos"/>
    </font>
    <font>
      <b/>
      <sz val="10"/>
      <color rgb="FF006100"/>
      <name val="Aptos"/>
    </font>
    <font>
      <b/>
      <i/>
      <sz val="10"/>
      <color rgb="FF666666"/>
      <name val="Aptos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medium">
        <color rgb="FF70AD47"/>
      </top>
      <bottom style="medium">
        <color rgb="FF70AD47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medium">
        <color rgb="FF70AD47"/>
      </top>
      <bottom/>
      <diagonal/>
    </border>
    <border>
      <left style="thin">
        <color rgb="FFA6A6A6"/>
      </left>
      <right/>
      <top style="medium">
        <color rgb="FF70AD4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70AD47"/>
      </bottom>
      <diagonal/>
    </border>
    <border>
      <left style="thin">
        <color indexed="64"/>
      </left>
      <right style="thin">
        <color indexed="64"/>
      </right>
      <top style="medium">
        <color rgb="FF70AD47"/>
      </top>
      <bottom style="medium">
        <color rgb="FF70AD47"/>
      </bottom>
      <diagonal/>
    </border>
    <border>
      <left style="thin">
        <color indexed="64"/>
      </left>
      <right style="thin">
        <color indexed="64"/>
      </right>
      <top style="medium">
        <color rgb="FF70AD47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70AD47"/>
      </top>
      <bottom/>
      <diagonal/>
    </border>
    <border>
      <left/>
      <right style="thin">
        <color rgb="FFA6A6A6"/>
      </right>
      <top style="medium">
        <color rgb="FF70AD47"/>
      </top>
      <bottom style="medium">
        <color rgb="FF70AD47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horizontal="right" vertical="center"/>
    </xf>
    <xf numFmtId="0" fontId="5" fillId="5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right" vertical="center"/>
    </xf>
    <xf numFmtId="0" fontId="7" fillId="7" borderId="12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right" vertical="center"/>
    </xf>
    <xf numFmtId="0" fontId="5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opLeftCell="A3" workbookViewId="0">
      <selection activeCell="F6" sqref="F6"/>
    </sheetView>
  </sheetViews>
  <sheetFormatPr defaultRowHeight="14.4" x14ac:dyDescent="0.3"/>
  <cols>
    <col min="1" max="1" width="34.21875" customWidth="1"/>
    <col min="2" max="2" width="13.88671875" customWidth="1"/>
    <col min="3" max="3" width="13" customWidth="1"/>
    <col min="4" max="4" width="26.88671875" customWidth="1"/>
    <col min="5" max="6" width="15.77734375" customWidth="1"/>
  </cols>
  <sheetData>
    <row r="1" spans="1:6" ht="30" customHeight="1" x14ac:dyDescent="0.3">
      <c r="A1" s="9" t="s">
        <v>32</v>
      </c>
      <c r="B1" s="9"/>
      <c r="C1" s="9"/>
      <c r="D1" s="9"/>
      <c r="E1" s="9"/>
      <c r="F1" s="9"/>
    </row>
    <row r="2" spans="1:6" ht="39" customHeight="1" x14ac:dyDescent="0.3">
      <c r="A2" s="8" t="s">
        <v>3</v>
      </c>
      <c r="B2" s="8" t="s">
        <v>4</v>
      </c>
      <c r="C2" s="8" t="s">
        <v>5</v>
      </c>
      <c r="D2" s="8" t="s">
        <v>6</v>
      </c>
      <c r="E2" s="8" t="s">
        <v>9</v>
      </c>
      <c r="F2" s="8"/>
    </row>
    <row r="3" spans="1:6" ht="19.95" customHeight="1" x14ac:dyDescent="0.3">
      <c r="A3" s="10"/>
      <c r="B3" s="10"/>
      <c r="C3" s="10"/>
      <c r="D3" s="10"/>
      <c r="E3" s="14" t="s">
        <v>7</v>
      </c>
      <c r="F3" s="14" t="s">
        <v>8</v>
      </c>
    </row>
    <row r="4" spans="1:6" ht="15" thickBot="1" x14ac:dyDescent="0.35">
      <c r="A4" s="7" t="s">
        <v>0</v>
      </c>
      <c r="B4" s="7" t="s">
        <v>1</v>
      </c>
      <c r="C4" s="7" t="s">
        <v>2</v>
      </c>
      <c r="D4" s="13"/>
      <c r="E4" s="15">
        <v>3</v>
      </c>
      <c r="F4" s="15"/>
    </row>
    <row r="5" spans="1:6" ht="15" thickBot="1" x14ac:dyDescent="0.35">
      <c r="A5" s="7" t="s">
        <v>10</v>
      </c>
      <c r="B5" s="7" t="s">
        <v>11</v>
      </c>
      <c r="C5" s="7" t="s">
        <v>12</v>
      </c>
      <c r="D5" s="13"/>
      <c r="E5" s="18">
        <v>20</v>
      </c>
      <c r="F5" s="18"/>
    </row>
    <row r="6" spans="1:6" ht="15" thickBot="1" x14ac:dyDescent="0.35">
      <c r="A6" s="7" t="s">
        <v>13</v>
      </c>
      <c r="B6" s="7" t="s">
        <v>14</v>
      </c>
      <c r="C6" s="7"/>
      <c r="D6" s="13"/>
      <c r="E6" s="20">
        <v>15</v>
      </c>
      <c r="F6" s="45">
        <v>40</v>
      </c>
    </row>
    <row r="7" spans="1:6" ht="15" thickBot="1" x14ac:dyDescent="0.35">
      <c r="A7" s="7" t="s">
        <v>15</v>
      </c>
      <c r="B7" s="7" t="s">
        <v>17</v>
      </c>
      <c r="C7" s="7" t="s">
        <v>18</v>
      </c>
      <c r="D7" s="13"/>
      <c r="E7" s="19">
        <v>120</v>
      </c>
      <c r="F7" s="17"/>
    </row>
    <row r="8" spans="1:6" x14ac:dyDescent="0.3">
      <c r="A8" s="7" t="s">
        <v>16</v>
      </c>
      <c r="B8" s="7" t="s">
        <v>19</v>
      </c>
      <c r="C8" s="7" t="s">
        <v>2</v>
      </c>
      <c r="D8" s="11" t="s">
        <v>28</v>
      </c>
      <c r="E8" s="21">
        <f>E6*E4</f>
        <v>45</v>
      </c>
      <c r="F8" s="12">
        <f>F6*E4</f>
        <v>120</v>
      </c>
    </row>
    <row r="9" spans="1:6" x14ac:dyDescent="0.3">
      <c r="A9" s="7" t="s">
        <v>20</v>
      </c>
      <c r="B9" s="7" t="s">
        <v>21</v>
      </c>
      <c r="C9" s="6" t="s">
        <v>31</v>
      </c>
      <c r="D9" s="11" t="s">
        <v>29</v>
      </c>
      <c r="E9" s="12">
        <f>(2000*E7)/E8</f>
        <v>5333.333333333333</v>
      </c>
      <c r="F9" s="12">
        <f>(2000*E7)/F8</f>
        <v>2000</v>
      </c>
    </row>
    <row r="10" spans="1:6" x14ac:dyDescent="0.3">
      <c r="A10" s="7" t="s">
        <v>22</v>
      </c>
      <c r="B10" s="7" t="s">
        <v>23</v>
      </c>
      <c r="C10" s="6"/>
      <c r="D10" s="11"/>
      <c r="E10" s="7">
        <v>0</v>
      </c>
      <c r="F10" s="7">
        <v>0</v>
      </c>
    </row>
    <row r="11" spans="1:6" x14ac:dyDescent="0.3">
      <c r="A11" s="7" t="s">
        <v>24</v>
      </c>
      <c r="B11" s="7" t="s">
        <v>25</v>
      </c>
      <c r="C11" s="6"/>
      <c r="D11" s="11" t="s">
        <v>30</v>
      </c>
      <c r="E11" s="12">
        <f>E9*TAN((3.14/180)*E5)</f>
        <v>1940.1058282846307</v>
      </c>
      <c r="F11" s="12">
        <f>F9*(TAN((3.14/180)*E5))</f>
        <v>727.5396856067365</v>
      </c>
    </row>
    <row r="12" spans="1:6" x14ac:dyDescent="0.3">
      <c r="A12" s="7" t="s">
        <v>26</v>
      </c>
      <c r="B12" s="7" t="s">
        <v>27</v>
      </c>
      <c r="C12" s="7" t="s">
        <v>18</v>
      </c>
      <c r="D12" s="11"/>
      <c r="E12" s="7"/>
      <c r="F12" s="12">
        <f>E7*(F6/E6)</f>
        <v>320</v>
      </c>
    </row>
  </sheetData>
  <mergeCells count="9">
    <mergeCell ref="E5:F5"/>
    <mergeCell ref="C9:C11"/>
    <mergeCell ref="A1:F1"/>
    <mergeCell ref="E2:F2"/>
    <mergeCell ref="D2:D3"/>
    <mergeCell ref="C2:C3"/>
    <mergeCell ref="B2:B3"/>
    <mergeCell ref="A2:A3"/>
    <mergeCell ref="E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tabSelected="1" workbookViewId="0">
      <selection activeCell="C18" sqref="C18"/>
    </sheetView>
  </sheetViews>
  <sheetFormatPr defaultRowHeight="14.4" x14ac:dyDescent="0.3"/>
  <cols>
    <col min="1" max="1" width="35.21875" customWidth="1"/>
    <col min="2" max="2" width="13.88671875" customWidth="1"/>
    <col min="3" max="3" width="13" customWidth="1"/>
    <col min="4" max="4" width="28.6640625" customWidth="1"/>
    <col min="5" max="6" width="15.77734375" customWidth="1"/>
  </cols>
  <sheetData>
    <row r="1" spans="1:10" ht="30" customHeight="1" x14ac:dyDescent="0.3">
      <c r="A1" s="9" t="s">
        <v>41</v>
      </c>
      <c r="B1" s="9"/>
      <c r="C1" s="9"/>
      <c r="D1" s="9"/>
      <c r="E1" s="9"/>
      <c r="F1" s="9"/>
    </row>
    <row r="2" spans="1:10" ht="24" customHeight="1" x14ac:dyDescent="0.3">
      <c r="A2" s="8" t="s">
        <v>3</v>
      </c>
      <c r="B2" s="8" t="s">
        <v>4</v>
      </c>
      <c r="C2" s="8" t="s">
        <v>5</v>
      </c>
      <c r="D2" s="8" t="s">
        <v>6</v>
      </c>
      <c r="E2" s="8" t="s">
        <v>40</v>
      </c>
      <c r="F2" s="8"/>
    </row>
    <row r="3" spans="1:10" ht="19.95" customHeight="1" x14ac:dyDescent="0.3">
      <c r="A3" s="10"/>
      <c r="B3" s="10"/>
      <c r="C3" s="10"/>
      <c r="D3" s="10"/>
      <c r="E3" s="14" t="s">
        <v>7</v>
      </c>
      <c r="F3" s="14" t="s">
        <v>8</v>
      </c>
    </row>
    <row r="4" spans="1:10" ht="15" thickBot="1" x14ac:dyDescent="0.35">
      <c r="A4" s="7" t="s">
        <v>33</v>
      </c>
      <c r="B4" s="7" t="s">
        <v>1</v>
      </c>
      <c r="C4" s="7" t="s">
        <v>2</v>
      </c>
      <c r="D4" s="13"/>
      <c r="E4" s="15">
        <v>3</v>
      </c>
      <c r="F4" s="15"/>
    </row>
    <row r="5" spans="1:10" ht="15" thickBot="1" x14ac:dyDescent="0.35">
      <c r="A5" s="7" t="s">
        <v>34</v>
      </c>
      <c r="B5" s="7" t="s">
        <v>37</v>
      </c>
      <c r="C5" s="7" t="s">
        <v>12</v>
      </c>
      <c r="D5" s="13"/>
      <c r="E5" s="18">
        <v>20</v>
      </c>
      <c r="F5" s="18"/>
    </row>
    <row r="6" spans="1:10" ht="15" thickBot="1" x14ac:dyDescent="0.35">
      <c r="A6" s="7" t="s">
        <v>13</v>
      </c>
      <c r="B6" s="7" t="s">
        <v>14</v>
      </c>
      <c r="C6" s="7"/>
      <c r="D6" s="13"/>
      <c r="E6" s="20">
        <v>20</v>
      </c>
      <c r="F6" s="22">
        <v>40</v>
      </c>
    </row>
    <row r="7" spans="1:10" ht="15" thickBot="1" x14ac:dyDescent="0.35">
      <c r="A7" s="7" t="s">
        <v>35</v>
      </c>
      <c r="B7" s="7" t="s">
        <v>36</v>
      </c>
      <c r="C7" s="7"/>
      <c r="D7" s="13"/>
      <c r="E7" s="18">
        <v>21.5</v>
      </c>
      <c r="F7" s="16"/>
    </row>
    <row r="8" spans="1:10" ht="15" thickBot="1" x14ac:dyDescent="0.35">
      <c r="A8" s="7" t="s">
        <v>15</v>
      </c>
      <c r="B8" s="7" t="s">
        <v>17</v>
      </c>
      <c r="C8" s="7" t="s">
        <v>18</v>
      </c>
      <c r="D8" s="13"/>
      <c r="E8" s="19">
        <v>167</v>
      </c>
      <c r="F8" s="17"/>
    </row>
    <row r="9" spans="1:10" x14ac:dyDescent="0.3">
      <c r="A9" s="7" t="s">
        <v>10</v>
      </c>
      <c r="B9" s="7" t="s">
        <v>11</v>
      </c>
      <c r="C9" s="7" t="s">
        <v>12</v>
      </c>
      <c r="D9" s="11" t="s">
        <v>38</v>
      </c>
      <c r="E9" s="23">
        <f>DEGREES(ATAN(J10))</f>
        <v>18.700096792980101</v>
      </c>
      <c r="F9" s="6"/>
    </row>
    <row r="10" spans="1:10" x14ac:dyDescent="0.3">
      <c r="A10" s="7" t="s">
        <v>16</v>
      </c>
      <c r="B10" s="7" t="s">
        <v>19</v>
      </c>
      <c r="C10" s="7" t="s">
        <v>2</v>
      </c>
      <c r="D10" s="11" t="s">
        <v>28</v>
      </c>
      <c r="E10" s="12">
        <f>E6*E4</f>
        <v>60</v>
      </c>
      <c r="F10" s="12">
        <f>F6*E4</f>
        <v>120</v>
      </c>
      <c r="J10">
        <f>(TAN(E5*3.14/180)*(COS(E7*3.14/180)))</f>
        <v>0.33848320866689097</v>
      </c>
    </row>
    <row r="11" spans="1:10" x14ac:dyDescent="0.3">
      <c r="A11" s="7" t="s">
        <v>20</v>
      </c>
      <c r="B11" s="7" t="s">
        <v>21</v>
      </c>
      <c r="C11" s="6" t="s">
        <v>31</v>
      </c>
      <c r="D11" s="11" t="s">
        <v>29</v>
      </c>
      <c r="E11" s="12">
        <f>(2000*E8)/E10</f>
        <v>5566.666666666667</v>
      </c>
      <c r="F11" s="12">
        <f>(2000*E8)/F10</f>
        <v>2783.3333333333335</v>
      </c>
    </row>
    <row r="12" spans="1:10" x14ac:dyDescent="0.3">
      <c r="A12" s="7" t="s">
        <v>22</v>
      </c>
      <c r="B12" s="7" t="s">
        <v>23</v>
      </c>
      <c r="C12" s="6"/>
      <c r="D12" s="11" t="s">
        <v>112</v>
      </c>
      <c r="E12" s="12">
        <f>E11*(TAN((3.14/180)*E7))</f>
        <v>2191.545123601371</v>
      </c>
      <c r="F12" s="12">
        <f>F11*(TAN((3.14/180)*E7))</f>
        <v>1095.7725618006855</v>
      </c>
    </row>
    <row r="13" spans="1:10" x14ac:dyDescent="0.3">
      <c r="A13" s="7" t="s">
        <v>24</v>
      </c>
      <c r="B13" s="7" t="s">
        <v>25</v>
      </c>
      <c r="C13" s="6"/>
      <c r="D13" s="11" t="s">
        <v>39</v>
      </c>
      <c r="E13" s="12">
        <f>E11*((TAN((3.14/180)*E9))/(COS((3.14/180)*E7)))</f>
        <v>2023.8822415684799</v>
      </c>
      <c r="F13" s="12">
        <f>F11*(TAN((3.14/180)*E5))</f>
        <v>1012.4927291360417</v>
      </c>
    </row>
    <row r="14" spans="1:10" x14ac:dyDescent="0.3">
      <c r="A14" s="7" t="s">
        <v>26</v>
      </c>
      <c r="B14" s="7" t="s">
        <v>27</v>
      </c>
      <c r="C14" s="7" t="s">
        <v>18</v>
      </c>
      <c r="D14" s="11"/>
      <c r="E14" s="7"/>
      <c r="F14" s="12">
        <f>E8*(F6/E6)</f>
        <v>334</v>
      </c>
    </row>
  </sheetData>
  <mergeCells count="11">
    <mergeCell ref="A1:F1"/>
    <mergeCell ref="A2:A3"/>
    <mergeCell ref="B2:B3"/>
    <mergeCell ref="C2:C3"/>
    <mergeCell ref="D2:D3"/>
    <mergeCell ref="E2:F2"/>
    <mergeCell ref="E4:F4"/>
    <mergeCell ref="E5:F5"/>
    <mergeCell ref="C11:C13"/>
    <mergeCell ref="E7:F7"/>
    <mergeCell ref="E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17" sqref="D17"/>
    </sheetView>
  </sheetViews>
  <sheetFormatPr defaultRowHeight="14.4" x14ac:dyDescent="0.3"/>
  <cols>
    <col min="1" max="1" width="35.21875" customWidth="1"/>
    <col min="2" max="2" width="15.21875" customWidth="1"/>
    <col min="3" max="3" width="13.33203125" customWidth="1"/>
    <col min="4" max="4" width="33.33203125" customWidth="1"/>
    <col min="5" max="6" width="15.77734375" customWidth="1"/>
  </cols>
  <sheetData>
    <row r="1" spans="1:6" ht="30" customHeight="1" x14ac:dyDescent="0.3">
      <c r="A1" s="9" t="s">
        <v>42</v>
      </c>
      <c r="B1" s="9"/>
      <c r="C1" s="9"/>
      <c r="D1" s="9"/>
      <c r="E1" s="9"/>
      <c r="F1" s="9"/>
    </row>
    <row r="2" spans="1:6" ht="24" customHeight="1" x14ac:dyDescent="0.3">
      <c r="A2" s="8" t="s">
        <v>3</v>
      </c>
      <c r="B2" s="8" t="s">
        <v>4</v>
      </c>
      <c r="C2" s="8" t="s">
        <v>5</v>
      </c>
      <c r="D2" s="8" t="s">
        <v>6</v>
      </c>
      <c r="E2" s="8" t="s">
        <v>43</v>
      </c>
      <c r="F2" s="8"/>
    </row>
    <row r="3" spans="1:6" ht="19.95" customHeight="1" x14ac:dyDescent="0.3">
      <c r="A3" s="10"/>
      <c r="B3" s="10"/>
      <c r="C3" s="10"/>
      <c r="D3" s="10"/>
      <c r="E3" s="14" t="s">
        <v>7</v>
      </c>
      <c r="F3" s="14" t="s">
        <v>8</v>
      </c>
    </row>
    <row r="4" spans="1:6" ht="15" thickBot="1" x14ac:dyDescent="0.35">
      <c r="A4" s="7" t="s">
        <v>44</v>
      </c>
      <c r="B4" s="7" t="s">
        <v>45</v>
      </c>
      <c r="C4" s="7" t="s">
        <v>12</v>
      </c>
      <c r="D4" s="13"/>
      <c r="E4" s="15">
        <v>90</v>
      </c>
      <c r="F4" s="15"/>
    </row>
    <row r="5" spans="1:6" ht="15" thickBot="1" x14ac:dyDescent="0.35">
      <c r="A5" s="7" t="s">
        <v>0</v>
      </c>
      <c r="B5" s="7" t="s">
        <v>46</v>
      </c>
      <c r="C5" s="7" t="s">
        <v>2</v>
      </c>
      <c r="D5" s="13"/>
      <c r="E5" s="18">
        <v>2</v>
      </c>
      <c r="F5" s="18"/>
    </row>
    <row r="6" spans="1:6" ht="15" thickBot="1" x14ac:dyDescent="0.35">
      <c r="A6" s="7" t="s">
        <v>47</v>
      </c>
      <c r="B6" s="7" t="s">
        <v>48</v>
      </c>
      <c r="C6" s="7" t="s">
        <v>12</v>
      </c>
      <c r="D6" s="13"/>
      <c r="E6" s="18">
        <v>20</v>
      </c>
      <c r="F6" s="18"/>
    </row>
    <row r="7" spans="1:6" ht="15" thickBot="1" x14ac:dyDescent="0.35">
      <c r="A7" s="7" t="s">
        <v>13</v>
      </c>
      <c r="B7" s="7" t="s">
        <v>49</v>
      </c>
      <c r="C7" s="7"/>
      <c r="D7" s="13"/>
      <c r="E7" s="20">
        <v>20</v>
      </c>
      <c r="F7" s="22">
        <v>40</v>
      </c>
    </row>
    <row r="8" spans="1:6" ht="15" thickBot="1" x14ac:dyDescent="0.35">
      <c r="A8" s="7" t="s">
        <v>50</v>
      </c>
      <c r="B8" s="7" t="s">
        <v>51</v>
      </c>
      <c r="C8" s="7" t="s">
        <v>12</v>
      </c>
      <c r="D8" s="13"/>
      <c r="E8" s="18">
        <v>0</v>
      </c>
      <c r="F8" s="18"/>
    </row>
    <row r="9" spans="1:6" ht="15" thickBot="1" x14ac:dyDescent="0.35">
      <c r="A9" s="7" t="s">
        <v>52</v>
      </c>
      <c r="B9" s="7" t="s">
        <v>53</v>
      </c>
      <c r="C9" s="7" t="s">
        <v>2</v>
      </c>
      <c r="D9" s="13"/>
      <c r="E9" s="18">
        <v>15</v>
      </c>
      <c r="F9" s="16"/>
    </row>
    <row r="10" spans="1:6" ht="15" thickBot="1" x14ac:dyDescent="0.35">
      <c r="A10" s="7" t="s">
        <v>15</v>
      </c>
      <c r="B10" s="7" t="s">
        <v>54</v>
      </c>
      <c r="C10" s="7" t="s">
        <v>55</v>
      </c>
      <c r="D10" s="13"/>
      <c r="E10" s="19">
        <v>1</v>
      </c>
      <c r="F10" s="17"/>
    </row>
    <row r="11" spans="1:6" x14ac:dyDescent="0.3">
      <c r="A11" s="7" t="s">
        <v>56</v>
      </c>
      <c r="B11" s="7" t="s">
        <v>19</v>
      </c>
      <c r="C11" s="7" t="s">
        <v>2</v>
      </c>
      <c r="D11" s="11" t="s">
        <v>60</v>
      </c>
      <c r="E11" s="21">
        <f>E7*E5</f>
        <v>40</v>
      </c>
      <c r="F11" s="12">
        <f>F7*E5</f>
        <v>80</v>
      </c>
    </row>
    <row r="12" spans="1:6" x14ac:dyDescent="0.3">
      <c r="A12" s="7" t="s">
        <v>57</v>
      </c>
      <c r="B12" s="7" t="s">
        <v>58</v>
      </c>
      <c r="C12" s="7" t="s">
        <v>12</v>
      </c>
      <c r="D12" s="24" t="s">
        <v>59</v>
      </c>
      <c r="E12" s="12">
        <f>DEGREES(ATAN(E7/F7))</f>
        <v>26.56505117707799</v>
      </c>
      <c r="F12" s="12">
        <f>E4-E12</f>
        <v>63.43494882292201</v>
      </c>
    </row>
    <row r="13" spans="1:6" x14ac:dyDescent="0.3">
      <c r="A13" s="7" t="s">
        <v>61</v>
      </c>
      <c r="B13" s="7" t="s">
        <v>62</v>
      </c>
      <c r="C13" s="7" t="s">
        <v>2</v>
      </c>
      <c r="D13" s="24" t="s">
        <v>63</v>
      </c>
      <c r="E13" s="12">
        <f>E11-(SIN((3.14/180)*(E12))*E9)</f>
        <v>33.294949773792958</v>
      </c>
      <c r="F13" s="12">
        <f>F11-(E9*(SIN((3.14/180)*F12)))</f>
        <v>66.5873594101338</v>
      </c>
    </row>
    <row r="14" spans="1:6" x14ac:dyDescent="0.3">
      <c r="A14" s="7" t="s">
        <v>20</v>
      </c>
      <c r="B14" s="7" t="s">
        <v>21</v>
      </c>
      <c r="C14" s="6" t="s">
        <v>31</v>
      </c>
      <c r="D14" s="11" t="s">
        <v>64</v>
      </c>
      <c r="E14" s="12">
        <f>(2000*E10)/E13</f>
        <v>60.069170056962669</v>
      </c>
      <c r="F14" s="12">
        <f>(2000*E10)/F13</f>
        <v>30.035730771081212</v>
      </c>
    </row>
    <row r="15" spans="1:6" x14ac:dyDescent="0.3">
      <c r="A15" s="7" t="s">
        <v>22</v>
      </c>
      <c r="B15" s="7" t="s">
        <v>23</v>
      </c>
      <c r="C15" s="6"/>
      <c r="D15" s="11" t="s">
        <v>65</v>
      </c>
      <c r="E15" s="12">
        <f>E14*(TAN((3.14/180)*E6)*(SIN((3.14/180)*E12)))</f>
        <v>9.76762775675118</v>
      </c>
      <c r="F15" s="12">
        <f>E14*(TAN((3.14/180)*E6)*SIN((3.14/180)*F12))</f>
        <v>19.538955876101635</v>
      </c>
    </row>
    <row r="16" spans="1:6" x14ac:dyDescent="0.3">
      <c r="A16" s="7" t="s">
        <v>24</v>
      </c>
      <c r="B16" s="7" t="s">
        <v>25</v>
      </c>
      <c r="C16" s="6"/>
      <c r="D16" s="11" t="s">
        <v>66</v>
      </c>
      <c r="E16" s="12">
        <f>E14*((TAN(3.14/180)*E6)*(COS((3.14/180)*E6)))</f>
        <v>19.696842291722444</v>
      </c>
      <c r="F16" s="12">
        <f>E14*(TAN((3.14/180)*E6)*COS((3.14/180)*F12))</f>
        <v>9.7831902511533393</v>
      </c>
    </row>
    <row r="17" spans="1:6" x14ac:dyDescent="0.3">
      <c r="A17" s="7" t="s">
        <v>26</v>
      </c>
      <c r="B17" s="7" t="s">
        <v>27</v>
      </c>
      <c r="C17" s="7" t="s">
        <v>55</v>
      </c>
      <c r="D17" s="11" t="s">
        <v>67</v>
      </c>
      <c r="E17" s="7"/>
      <c r="F17" s="12">
        <f>E14*F13/2000</f>
        <v>1.9999237080257104</v>
      </c>
    </row>
  </sheetData>
  <mergeCells count="12">
    <mergeCell ref="A1:F1"/>
    <mergeCell ref="A2:A3"/>
    <mergeCell ref="B2:B3"/>
    <mergeCell ref="C2:C3"/>
    <mergeCell ref="D2:D3"/>
    <mergeCell ref="E2:F2"/>
    <mergeCell ref="E4:F4"/>
    <mergeCell ref="C14:C16"/>
    <mergeCell ref="E5:F5"/>
    <mergeCell ref="E6:F6"/>
    <mergeCell ref="E8:F8"/>
    <mergeCell ref="E9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topLeftCell="A7" workbookViewId="0">
      <selection activeCell="F20" sqref="F20"/>
    </sheetView>
  </sheetViews>
  <sheetFormatPr defaultRowHeight="14.4" x14ac:dyDescent="0.3"/>
  <cols>
    <col min="1" max="1" width="31.44140625" customWidth="1"/>
    <col min="2" max="2" width="13" customWidth="1"/>
    <col min="3" max="3" width="12" customWidth="1"/>
    <col min="4" max="5" width="28.6640625" customWidth="1"/>
    <col min="6" max="7" width="15.21875" customWidth="1"/>
  </cols>
  <sheetData>
    <row r="1" spans="1:10" ht="30" customHeight="1" x14ac:dyDescent="0.3">
      <c r="A1" s="9" t="s">
        <v>68</v>
      </c>
      <c r="B1" s="9"/>
      <c r="C1" s="9"/>
      <c r="D1" s="9"/>
      <c r="E1" s="9"/>
      <c r="F1" s="9"/>
      <c r="G1" s="9"/>
    </row>
    <row r="2" spans="1:10" ht="24" customHeight="1" x14ac:dyDescent="0.3">
      <c r="A2" s="8" t="s">
        <v>3</v>
      </c>
      <c r="B2" s="8" t="s">
        <v>4</v>
      </c>
      <c r="C2" s="8" t="s">
        <v>5</v>
      </c>
      <c r="D2" s="8" t="s">
        <v>6</v>
      </c>
      <c r="E2" s="8"/>
      <c r="F2" s="8" t="s">
        <v>107</v>
      </c>
      <c r="G2" s="8"/>
    </row>
    <row r="3" spans="1:10" ht="19.95" customHeight="1" x14ac:dyDescent="0.3">
      <c r="A3" s="10"/>
      <c r="B3" s="10"/>
      <c r="C3" s="10"/>
      <c r="D3" s="10"/>
      <c r="E3" s="10"/>
      <c r="F3" s="14" t="s">
        <v>7</v>
      </c>
      <c r="G3" s="14" t="s">
        <v>8</v>
      </c>
    </row>
    <row r="4" spans="1:10" ht="15" thickBot="1" x14ac:dyDescent="0.35">
      <c r="A4" s="7" t="s">
        <v>44</v>
      </c>
      <c r="B4" s="7" t="s">
        <v>45</v>
      </c>
      <c r="C4" s="7" t="s">
        <v>12</v>
      </c>
      <c r="D4" s="11"/>
      <c r="E4" s="13"/>
      <c r="F4" s="15">
        <v>90</v>
      </c>
      <c r="G4" s="15"/>
    </row>
    <row r="5" spans="1:10" ht="15" thickBot="1" x14ac:dyDescent="0.35">
      <c r="A5" s="7" t="s">
        <v>0</v>
      </c>
      <c r="B5" s="7" t="s">
        <v>46</v>
      </c>
      <c r="C5" s="7" t="s">
        <v>2</v>
      </c>
      <c r="D5" s="11"/>
      <c r="E5" s="13"/>
      <c r="F5" s="18">
        <v>2</v>
      </c>
      <c r="G5" s="18"/>
    </row>
    <row r="6" spans="1:10" ht="15" thickBot="1" x14ac:dyDescent="0.35">
      <c r="A6" s="7" t="s">
        <v>47</v>
      </c>
      <c r="B6" s="7" t="s">
        <v>48</v>
      </c>
      <c r="C6" s="7" t="s">
        <v>12</v>
      </c>
      <c r="D6" s="11"/>
      <c r="E6" s="13"/>
      <c r="F6" s="18">
        <v>20</v>
      </c>
      <c r="G6" s="18"/>
    </row>
    <row r="7" spans="1:10" ht="15" thickBot="1" x14ac:dyDescent="0.35">
      <c r="A7" s="7" t="s">
        <v>13</v>
      </c>
      <c r="B7" s="7" t="s">
        <v>49</v>
      </c>
      <c r="C7" s="7"/>
      <c r="D7" s="11"/>
      <c r="E7" s="13"/>
      <c r="F7" s="20">
        <v>20</v>
      </c>
      <c r="G7" s="22">
        <v>40</v>
      </c>
    </row>
    <row r="8" spans="1:10" ht="15" thickBot="1" x14ac:dyDescent="0.35">
      <c r="A8" s="7" t="s">
        <v>50</v>
      </c>
      <c r="B8" s="7" t="s">
        <v>51</v>
      </c>
      <c r="C8" s="7" t="s">
        <v>12</v>
      </c>
      <c r="D8" s="11"/>
      <c r="E8" s="13"/>
      <c r="F8" s="18">
        <v>35</v>
      </c>
      <c r="G8" s="18"/>
    </row>
    <row r="9" spans="1:10" ht="15" thickBot="1" x14ac:dyDescent="0.35">
      <c r="A9" s="7" t="s">
        <v>52</v>
      </c>
      <c r="B9" s="7" t="s">
        <v>53</v>
      </c>
      <c r="C9" s="7" t="s">
        <v>2</v>
      </c>
      <c r="D9" s="11"/>
      <c r="E9" s="13"/>
      <c r="F9" s="18">
        <v>15</v>
      </c>
      <c r="G9" s="16"/>
    </row>
    <row r="10" spans="1:10" ht="15" thickBot="1" x14ac:dyDescent="0.35">
      <c r="A10" s="7" t="s">
        <v>15</v>
      </c>
      <c r="B10" s="7" t="s">
        <v>54</v>
      </c>
      <c r="C10" s="7" t="s">
        <v>55</v>
      </c>
      <c r="D10" s="11"/>
      <c r="E10" s="13"/>
      <c r="F10" s="19">
        <v>1.6646000000000001</v>
      </c>
      <c r="G10" s="17"/>
    </row>
    <row r="11" spans="1:10" x14ac:dyDescent="0.3">
      <c r="A11" s="7" t="s">
        <v>56</v>
      </c>
      <c r="B11" s="7" t="s">
        <v>19</v>
      </c>
      <c r="C11" s="7" t="s">
        <v>2</v>
      </c>
      <c r="D11" s="11"/>
      <c r="E11" s="11" t="s">
        <v>60</v>
      </c>
      <c r="F11" s="21">
        <f>F7*F5</f>
        <v>40</v>
      </c>
      <c r="G11" s="12">
        <f>G7*F5</f>
        <v>80</v>
      </c>
    </row>
    <row r="12" spans="1:10" x14ac:dyDescent="0.3">
      <c r="A12" s="7" t="s">
        <v>57</v>
      </c>
      <c r="B12" s="7" t="s">
        <v>58</v>
      </c>
      <c r="C12" s="7" t="s">
        <v>12</v>
      </c>
      <c r="D12" s="11"/>
      <c r="E12" s="24" t="s">
        <v>59</v>
      </c>
      <c r="F12" s="12">
        <f>DEGREES(ATAN(F7/G7))</f>
        <v>26.56505117707799</v>
      </c>
      <c r="G12" s="12">
        <f>F4-F12</f>
        <v>63.43494882292201</v>
      </c>
    </row>
    <row r="13" spans="1:10" x14ac:dyDescent="0.3">
      <c r="A13" s="7" t="s">
        <v>61</v>
      </c>
      <c r="B13" s="7" t="s">
        <v>62</v>
      </c>
      <c r="C13" s="7" t="s">
        <v>2</v>
      </c>
      <c r="D13" s="11"/>
      <c r="E13" s="24" t="s">
        <v>63</v>
      </c>
      <c r="F13" s="12">
        <f>F11-(SIN((3.14/180)*(F12))*F9)</f>
        <v>33.294949773792958</v>
      </c>
      <c r="G13" s="12">
        <f>G11-(F9*(SIN((3.14/180)*G12)))</f>
        <v>66.5873594101338</v>
      </c>
      <c r="J13">
        <f>COS(35*3.14/180)</f>
        <v>0.81932963167290662</v>
      </c>
    </row>
    <row r="14" spans="1:10" x14ac:dyDescent="0.3">
      <c r="A14" s="7" t="s">
        <v>20</v>
      </c>
      <c r="B14" s="7" t="s">
        <v>21</v>
      </c>
      <c r="C14" s="6" t="s">
        <v>31</v>
      </c>
      <c r="D14" s="24"/>
      <c r="E14" s="11" t="s">
        <v>64</v>
      </c>
      <c r="F14" s="12">
        <f>(2000*F10)/F13</f>
        <v>99.991140476820064</v>
      </c>
      <c r="G14" s="12">
        <f>(2000*F10)/G13</f>
        <v>49.99747744154179</v>
      </c>
    </row>
    <row r="15" spans="1:10" x14ac:dyDescent="0.3">
      <c r="A15" s="7"/>
      <c r="B15" s="7"/>
      <c r="C15" s="6"/>
      <c r="D15" s="24"/>
      <c r="E15" s="11"/>
      <c r="F15" s="7"/>
      <c r="G15" s="7"/>
    </row>
    <row r="16" spans="1:10" x14ac:dyDescent="0.3">
      <c r="A16" s="7" t="s">
        <v>22</v>
      </c>
      <c r="B16" s="7" t="s">
        <v>23</v>
      </c>
      <c r="C16" s="6"/>
      <c r="D16" s="24"/>
      <c r="E16" s="11" t="s">
        <v>65</v>
      </c>
      <c r="F16" s="12">
        <f>F14*(TAN((3.14/180)*F6)*(SIN((3.14/180)*F12)))</f>
        <v>16.259193163888014</v>
      </c>
      <c r="G16" s="12">
        <f>F14*(TAN((3.14/180)*F6)*SIN((3.14/180)*G12))</f>
        <v>32.524545951358782</v>
      </c>
    </row>
    <row r="17" spans="1:10" x14ac:dyDescent="0.3">
      <c r="A17" s="7" t="s">
        <v>24</v>
      </c>
      <c r="B17" s="7" t="s">
        <v>25</v>
      </c>
      <c r="C17" s="6"/>
      <c r="D17" s="24"/>
      <c r="E17" s="11" t="s">
        <v>66</v>
      </c>
      <c r="F17" s="12">
        <f>F14*((TAN(3.14/180)*F6)*(COS((3.14/180)*F6)))</f>
        <v>32.787363678801178</v>
      </c>
      <c r="G17" s="12">
        <f>F14*(TAN((3.14/180)*F6)*COS((3.14/180)*G12))</f>
        <v>16.285098492069849</v>
      </c>
    </row>
    <row r="18" spans="1:10" x14ac:dyDescent="0.3">
      <c r="A18" s="7" t="s">
        <v>26</v>
      </c>
      <c r="B18" s="7" t="s">
        <v>27</v>
      </c>
      <c r="C18" s="7" t="s">
        <v>55</v>
      </c>
      <c r="D18" s="11"/>
      <c r="E18" s="11" t="s">
        <v>67</v>
      </c>
      <c r="F18" s="7"/>
      <c r="G18" s="12">
        <f>F14*G13/2000</f>
        <v>3.3290730043795973</v>
      </c>
    </row>
    <row r="19" spans="1:10" x14ac:dyDescent="0.3">
      <c r="A19" s="8" t="s">
        <v>69</v>
      </c>
      <c r="B19" s="8"/>
      <c r="C19" s="8"/>
      <c r="D19" s="25"/>
      <c r="E19" s="25"/>
      <c r="F19" s="8"/>
      <c r="G19" s="8"/>
    </row>
    <row r="20" spans="1:10" ht="27.6" x14ac:dyDescent="0.3">
      <c r="A20" s="7" t="s">
        <v>22</v>
      </c>
      <c r="B20" s="7" t="s">
        <v>23</v>
      </c>
      <c r="C20" s="7"/>
      <c r="D20" s="11" t="s">
        <v>70</v>
      </c>
      <c r="E20" s="11" t="s">
        <v>110</v>
      </c>
      <c r="F20" s="12">
        <f>(F14/I20)*(((I21*I22)-(I23*I24)))</f>
        <v>-42.753832531647532</v>
      </c>
      <c r="G20" s="12">
        <f>F21</f>
        <v>71.049628857484279</v>
      </c>
      <c r="H20" t="s">
        <v>100</v>
      </c>
      <c r="I20">
        <f>COS(RADIANS(F8))</f>
        <v>0.8191520442889918</v>
      </c>
      <c r="J20">
        <v>20</v>
      </c>
    </row>
    <row r="21" spans="1:10" ht="27.6" x14ac:dyDescent="0.3">
      <c r="A21" s="7" t="s">
        <v>24</v>
      </c>
      <c r="B21" s="7" t="s">
        <v>25</v>
      </c>
      <c r="C21" s="7"/>
      <c r="D21" s="11" t="s">
        <v>111</v>
      </c>
      <c r="E21" s="11" t="s">
        <v>73</v>
      </c>
      <c r="F21" s="12">
        <f>(F14/I20)*((I21*I24)+(I23*I22))</f>
        <v>71.049628857484279</v>
      </c>
      <c r="G21" s="12">
        <f>F20</f>
        <v>-42.753832531647532</v>
      </c>
      <c r="H21" t="s">
        <v>101</v>
      </c>
      <c r="I21">
        <f>TAN(RADIANS(F6))</f>
        <v>0.36397023426620234</v>
      </c>
      <c r="J21">
        <v>21</v>
      </c>
    </row>
    <row r="22" spans="1:10" x14ac:dyDescent="0.3">
      <c r="A22" s="7"/>
      <c r="B22" s="7"/>
      <c r="C22" s="7"/>
      <c r="D22" s="11"/>
      <c r="E22" s="11"/>
      <c r="F22" s="7"/>
      <c r="G22" s="7"/>
      <c r="H22" t="s">
        <v>102</v>
      </c>
      <c r="I22">
        <f>SIN(RADIANS(F12))</f>
        <v>0.44721359549995793</v>
      </c>
      <c r="J22">
        <v>22</v>
      </c>
    </row>
    <row r="23" spans="1:10" ht="27.6" x14ac:dyDescent="0.3">
      <c r="A23" s="7" t="s">
        <v>22</v>
      </c>
      <c r="B23" s="7" t="s">
        <v>23</v>
      </c>
      <c r="C23" s="7"/>
      <c r="D23" s="11" t="s">
        <v>108</v>
      </c>
      <c r="E23" s="11" t="s">
        <v>71</v>
      </c>
      <c r="F23" s="12">
        <f>((F14/I20)*((I21*I22)+((I23*I24))))</f>
        <v>82.492002604975951</v>
      </c>
      <c r="G23" s="12">
        <f>((F14/I20)*((I21*I25)-(I23*I26)))</f>
        <v>8.4267112891725411</v>
      </c>
      <c r="H23" t="s">
        <v>103</v>
      </c>
      <c r="I23">
        <f>SIN(RADIANS(F8))</f>
        <v>0.57357643635104605</v>
      </c>
      <c r="J23">
        <v>23</v>
      </c>
    </row>
    <row r="24" spans="1:10" ht="27.6" x14ac:dyDescent="0.3">
      <c r="A24" s="7" t="s">
        <v>24</v>
      </c>
      <c r="B24" s="7" t="s">
        <v>25</v>
      </c>
      <c r="C24" s="7"/>
      <c r="D24" s="11" t="s">
        <v>72</v>
      </c>
      <c r="E24" s="11" t="s">
        <v>109</v>
      </c>
      <c r="F24" s="12">
        <f>G23</f>
        <v>8.4267112891725411</v>
      </c>
      <c r="G24" s="12">
        <f>F23</f>
        <v>82.492002604975951</v>
      </c>
      <c r="H24" t="s">
        <v>104</v>
      </c>
      <c r="I24">
        <f>COS(RADIANS(F12))</f>
        <v>0.89442719099991586</v>
      </c>
      <c r="J24">
        <v>24</v>
      </c>
    </row>
    <row r="25" spans="1:10" x14ac:dyDescent="0.3">
      <c r="A25" s="7"/>
      <c r="B25" s="7"/>
      <c r="C25" s="7"/>
      <c r="D25" s="11"/>
      <c r="E25" s="11"/>
      <c r="F25" s="7"/>
      <c r="G25" s="7"/>
      <c r="H25" t="s">
        <v>105</v>
      </c>
      <c r="I25">
        <f>SIN(RADIANS(G12))</f>
        <v>0.89442719099991586</v>
      </c>
      <c r="J25">
        <v>25</v>
      </c>
    </row>
    <row r="26" spans="1:10" x14ac:dyDescent="0.3">
      <c r="A26" s="7"/>
      <c r="B26" s="7"/>
      <c r="C26" s="7"/>
      <c r="D26" s="11"/>
      <c r="E26" s="11"/>
      <c r="F26" s="7"/>
      <c r="G26" s="7"/>
      <c r="H26" t="s">
        <v>106</v>
      </c>
      <c r="I26">
        <f>COS(RADIANS(G12))</f>
        <v>0.44721359549995804</v>
      </c>
      <c r="J26">
        <v>26</v>
      </c>
    </row>
  </sheetData>
  <mergeCells count="13">
    <mergeCell ref="A1:G1"/>
    <mergeCell ref="A2:A3"/>
    <mergeCell ref="B2:B3"/>
    <mergeCell ref="C2:C3"/>
    <mergeCell ref="F2:G2"/>
    <mergeCell ref="A19:G19"/>
    <mergeCell ref="D2:E3"/>
    <mergeCell ref="F4:G4"/>
    <mergeCell ref="F5:G5"/>
    <mergeCell ref="F6:G6"/>
    <mergeCell ref="F8:G8"/>
    <mergeCell ref="F9:G9"/>
    <mergeCell ref="C14:C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7"/>
  <sheetViews>
    <sheetView workbookViewId="0">
      <selection activeCell="K22" sqref="K22"/>
    </sheetView>
  </sheetViews>
  <sheetFormatPr defaultRowHeight="14.4" x14ac:dyDescent="0.3"/>
  <cols>
    <col min="1" max="1" width="7.77734375" customWidth="1"/>
    <col min="2" max="2" width="35.21875" customWidth="1"/>
    <col min="3" max="3" width="14.77734375" customWidth="1"/>
    <col min="4" max="4" width="12" customWidth="1"/>
    <col min="5" max="5" width="26.88671875" customWidth="1"/>
    <col min="6" max="6" width="4.6640625" customWidth="1"/>
    <col min="7" max="8" width="16.33203125" customWidth="1"/>
  </cols>
  <sheetData>
    <row r="1" spans="1:11" ht="30" customHeight="1" x14ac:dyDescent="0.3">
      <c r="A1" s="28" t="s">
        <v>99</v>
      </c>
      <c r="B1" s="28"/>
      <c r="C1" s="28"/>
      <c r="D1" s="28"/>
      <c r="E1" s="28"/>
      <c r="F1" s="28"/>
      <c r="G1" s="28"/>
      <c r="H1" s="28"/>
    </row>
    <row r="2" spans="1:11" ht="24" customHeight="1" x14ac:dyDescent="0.3">
      <c r="A2" s="29" t="s">
        <v>3</v>
      </c>
      <c r="B2" s="29" t="s">
        <v>74</v>
      </c>
      <c r="C2" s="29" t="s">
        <v>4</v>
      </c>
      <c r="D2" s="29" t="s">
        <v>5</v>
      </c>
      <c r="E2" s="27" t="s">
        <v>6</v>
      </c>
      <c r="F2" s="27"/>
      <c r="G2" s="27" t="s">
        <v>75</v>
      </c>
      <c r="H2" s="27"/>
    </row>
    <row r="3" spans="1:11" ht="19.95" customHeight="1" x14ac:dyDescent="0.3">
      <c r="A3" s="30"/>
      <c r="B3" s="30"/>
      <c r="C3" s="30"/>
      <c r="D3" s="30"/>
      <c r="E3" s="30"/>
      <c r="F3" s="30"/>
      <c r="G3" s="34" t="s">
        <v>76</v>
      </c>
      <c r="H3" s="34" t="s">
        <v>77</v>
      </c>
    </row>
    <row r="4" spans="1:11" ht="15" thickBot="1" x14ac:dyDescent="0.35">
      <c r="A4" s="26">
        <v>1</v>
      </c>
      <c r="B4" s="26" t="s">
        <v>44</v>
      </c>
      <c r="C4" s="26" t="s">
        <v>79</v>
      </c>
      <c r="D4" s="26" t="s">
        <v>78</v>
      </c>
      <c r="E4" s="31"/>
      <c r="F4" s="33"/>
      <c r="G4" s="36">
        <v>90</v>
      </c>
      <c r="H4" s="36"/>
    </row>
    <row r="5" spans="1:11" ht="15" thickBot="1" x14ac:dyDescent="0.35">
      <c r="A5" s="26">
        <v>2</v>
      </c>
      <c r="B5" s="26" t="s">
        <v>80</v>
      </c>
      <c r="C5" s="26" t="s">
        <v>81</v>
      </c>
      <c r="D5" s="26" t="s">
        <v>2</v>
      </c>
      <c r="E5" s="31"/>
      <c r="F5" s="33"/>
      <c r="G5" s="37">
        <v>2.5</v>
      </c>
      <c r="H5" s="37"/>
    </row>
    <row r="6" spans="1:11" ht="15" thickBot="1" x14ac:dyDescent="0.35">
      <c r="A6" s="26">
        <v>3</v>
      </c>
      <c r="B6" s="26" t="s">
        <v>10</v>
      </c>
      <c r="C6" s="26" t="s">
        <v>48</v>
      </c>
      <c r="D6" s="26" t="s">
        <v>78</v>
      </c>
      <c r="E6" s="31"/>
      <c r="F6" s="33"/>
      <c r="G6" s="37">
        <v>20</v>
      </c>
      <c r="H6" s="37"/>
    </row>
    <row r="7" spans="1:11" ht="15" thickBot="1" x14ac:dyDescent="0.35">
      <c r="A7" s="26">
        <v>4</v>
      </c>
      <c r="B7" s="26" t="s">
        <v>82</v>
      </c>
      <c r="C7" s="26" t="s">
        <v>49</v>
      </c>
      <c r="D7" s="26"/>
      <c r="E7" s="31"/>
      <c r="F7" s="33"/>
      <c r="G7" s="41">
        <v>1</v>
      </c>
      <c r="H7" s="40">
        <v>18</v>
      </c>
    </row>
    <row r="8" spans="1:11" ht="15" thickBot="1" x14ac:dyDescent="0.35">
      <c r="A8" s="26">
        <v>5</v>
      </c>
      <c r="B8" s="26" t="s">
        <v>16</v>
      </c>
      <c r="C8" s="26" t="s">
        <v>83</v>
      </c>
      <c r="D8" s="26" t="s">
        <v>2</v>
      </c>
      <c r="E8" s="31"/>
      <c r="F8" s="33"/>
      <c r="G8" s="40">
        <v>25.4</v>
      </c>
      <c r="H8" s="39"/>
    </row>
    <row r="9" spans="1:11" ht="15" thickBot="1" x14ac:dyDescent="0.35">
      <c r="A9" s="26">
        <v>6</v>
      </c>
      <c r="B9" s="26" t="s">
        <v>84</v>
      </c>
      <c r="C9" s="26" t="s">
        <v>85</v>
      </c>
      <c r="D9" s="26"/>
      <c r="E9" s="31"/>
      <c r="F9" s="33"/>
      <c r="G9" s="42">
        <v>0.05</v>
      </c>
      <c r="H9" s="35"/>
    </row>
    <row r="10" spans="1:11" ht="15" thickBot="1" x14ac:dyDescent="0.35">
      <c r="A10" s="26">
        <v>7</v>
      </c>
      <c r="B10" s="26" t="s">
        <v>15</v>
      </c>
      <c r="C10" s="26" t="s">
        <v>17</v>
      </c>
      <c r="D10" s="26" t="s">
        <v>86</v>
      </c>
      <c r="E10" s="31"/>
      <c r="F10" s="33"/>
      <c r="G10" s="40">
        <v>1</v>
      </c>
      <c r="H10" s="39"/>
    </row>
    <row r="11" spans="1:11" x14ac:dyDescent="0.3">
      <c r="A11" s="26">
        <v>8</v>
      </c>
      <c r="B11" s="26" t="s">
        <v>16</v>
      </c>
      <c r="C11" s="26" t="s">
        <v>87</v>
      </c>
      <c r="D11" s="26" t="s">
        <v>2</v>
      </c>
      <c r="E11" s="31"/>
      <c r="F11" s="31" t="s">
        <v>88</v>
      </c>
      <c r="G11" s="38"/>
      <c r="H11" s="43">
        <f>G5*H7</f>
        <v>45</v>
      </c>
    </row>
    <row r="12" spans="1:11" x14ac:dyDescent="0.3">
      <c r="A12" s="26">
        <v>9</v>
      </c>
      <c r="B12" s="26" t="s">
        <v>89</v>
      </c>
      <c r="C12" s="26" t="s">
        <v>90</v>
      </c>
      <c r="D12" s="26" t="s">
        <v>78</v>
      </c>
      <c r="E12" s="32" t="s">
        <v>113</v>
      </c>
      <c r="F12" s="32"/>
      <c r="G12" s="44">
        <f>ATAN((G5*G7)/G8)*180/3.14</f>
        <v>5.6240942425378417</v>
      </c>
      <c r="H12" s="2"/>
    </row>
    <row r="13" spans="1:11" x14ac:dyDescent="0.3">
      <c r="A13" s="26">
        <v>10</v>
      </c>
      <c r="B13" s="26" t="s">
        <v>20</v>
      </c>
      <c r="C13" s="26" t="s">
        <v>91</v>
      </c>
      <c r="D13" s="3" t="s">
        <v>31</v>
      </c>
      <c r="E13" s="31" t="s">
        <v>92</v>
      </c>
      <c r="F13" s="31"/>
      <c r="G13" s="43">
        <f>2000*G10/G8</f>
        <v>78.740157480314963</v>
      </c>
      <c r="H13" s="43">
        <f>G13*J20</f>
        <v>518.01739075518276</v>
      </c>
    </row>
    <row r="14" spans="1:11" x14ac:dyDescent="0.3">
      <c r="A14" s="26">
        <v>11</v>
      </c>
      <c r="B14" s="26" t="s">
        <v>22</v>
      </c>
      <c r="C14" s="26"/>
      <c r="D14" s="4"/>
      <c r="E14" s="31"/>
      <c r="F14" s="31"/>
      <c r="G14" s="43">
        <f>H13</f>
        <v>518.01739075518276</v>
      </c>
      <c r="H14" s="43">
        <f>G13</f>
        <v>78.740157480314963</v>
      </c>
      <c r="I14" t="s">
        <v>93</v>
      </c>
      <c r="J14">
        <f>COS(RADIANS(20))</f>
        <v>0.93969262078590843</v>
      </c>
      <c r="K14">
        <f>J14*180/3.14</f>
        <v>53.867729853969273</v>
      </c>
    </row>
    <row r="15" spans="1:11" x14ac:dyDescent="0.3">
      <c r="A15" s="26">
        <v>12</v>
      </c>
      <c r="B15" s="26" t="s">
        <v>97</v>
      </c>
      <c r="C15" s="26"/>
      <c r="D15" s="5"/>
      <c r="E15" s="31"/>
      <c r="F15" s="31"/>
      <c r="G15" s="44">
        <f>((J16)/((J14*J17)+(G9*J15)))*G13</f>
        <v>189.53123038692829</v>
      </c>
      <c r="H15" s="2"/>
      <c r="I15" t="s">
        <v>94</v>
      </c>
      <c r="J15">
        <f>COS(RAG12)</f>
        <v>1</v>
      </c>
      <c r="K15">
        <f>J15*180/3.14</f>
        <v>57.324840764331206</v>
      </c>
    </row>
    <row r="16" spans="1:11" x14ac:dyDescent="0.3">
      <c r="A16" s="26">
        <v>13</v>
      </c>
      <c r="B16" s="26" t="s">
        <v>98</v>
      </c>
      <c r="C16" s="26"/>
      <c r="D16" s="26"/>
      <c r="E16" s="31"/>
      <c r="F16" s="31"/>
      <c r="G16" s="44">
        <f>(TAN(RADIANS(G12))*(H13)/G13)*100</f>
        <v>64.785228952799088</v>
      </c>
      <c r="H16" s="2"/>
      <c r="I16" t="s">
        <v>95</v>
      </c>
      <c r="J16">
        <f>SIN(RADIANS(G6))</f>
        <v>0.34202014332566871</v>
      </c>
      <c r="K16">
        <f>J16*180/3.14</f>
        <v>19.606250254337699</v>
      </c>
    </row>
    <row r="17" spans="1:11" x14ac:dyDescent="0.3">
      <c r="A17" s="26">
        <v>14</v>
      </c>
      <c r="B17" s="26" t="s">
        <v>26</v>
      </c>
      <c r="C17" s="26"/>
      <c r="D17" s="26"/>
      <c r="E17" s="31"/>
      <c r="F17" s="31"/>
      <c r="G17" s="44">
        <f>(H13*H11)/2000</f>
        <v>11.655391291991613</v>
      </c>
      <c r="H17" s="2"/>
      <c r="I17" t="s">
        <v>96</v>
      </c>
      <c r="J17">
        <f>SIN(RADIANS(G12))</f>
        <v>9.8001407989381853E-2</v>
      </c>
      <c r="K17">
        <f>J17*180/3.14</f>
        <v>5.6179151076715712</v>
      </c>
    </row>
    <row r="18" spans="1:11" x14ac:dyDescent="0.3">
      <c r="J18" s="1">
        <f>((J15*J14)-G9*J17)</f>
        <v>0.93479255038643938</v>
      </c>
      <c r="K18" s="1"/>
    </row>
    <row r="19" spans="1:11" x14ac:dyDescent="0.3">
      <c r="J19">
        <f>(J14*J17)+(G9*J15)</f>
        <v>0.14209119991425129</v>
      </c>
    </row>
    <row r="20" spans="1:11" x14ac:dyDescent="0.3">
      <c r="J20">
        <f>J18/J19</f>
        <v>6.5788208625908204</v>
      </c>
    </row>
    <row r="26" spans="1:11" x14ac:dyDescent="0.3">
      <c r="F26">
        <v>10</v>
      </c>
      <c r="G26">
        <f>11.65/1</f>
        <v>11.65</v>
      </c>
    </row>
    <row r="27" spans="1:11" x14ac:dyDescent="0.3">
      <c r="G27">
        <f>10/G26</f>
        <v>0.85836909871244638</v>
      </c>
    </row>
  </sheetData>
  <mergeCells count="13">
    <mergeCell ref="A1:H1"/>
    <mergeCell ref="D13:D15"/>
    <mergeCell ref="E12:F12"/>
    <mergeCell ref="G12:H12"/>
    <mergeCell ref="G15:H15"/>
    <mergeCell ref="E2:F2"/>
    <mergeCell ref="G16:H16"/>
    <mergeCell ref="G17:H17"/>
    <mergeCell ref="G2:H2"/>
    <mergeCell ref="G4:H4"/>
    <mergeCell ref="G5:H5"/>
    <mergeCell ref="G6:H6"/>
    <mergeCell ref="G9:H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spur</vt:lpstr>
      <vt:lpstr>Helical</vt:lpstr>
      <vt:lpstr>Stright Bevel</vt:lpstr>
      <vt:lpstr>Spiral</vt:lpstr>
      <vt:lpstr>Worm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2026-08-09T08:24:27Z</dcterms:modified>
</cp:coreProperties>
</file>